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uriy\Desktop\Мои документы\Текущие документы\УК\Работа по МКД\90\Годовое ОСС за 2015 г\20160608 Собрание\"/>
    </mc:Choice>
  </mc:AlternateContent>
  <bookViews>
    <workbookView xWindow="360" yWindow="90" windowWidth="14355" windowHeight="4680" tabRatio="856" activeTab="2"/>
  </bookViews>
  <sheets>
    <sheet name="Структура  2016" sheetId="18" r:id="rId1"/>
    <sheet name="Смета Ямская 90" sheetId="1" r:id="rId2"/>
    <sheet name="Смета Ямская 90 с затр.2015" sheetId="19" r:id="rId3"/>
    <sheet name="Благоустройство" sheetId="10" r:id="rId4"/>
    <sheet name="Уборка снега" sheetId="4" r:id="rId5"/>
    <sheet name="Электроснабжение" sheetId="11" r:id="rId6"/>
    <sheet name="Теплоснабжение" sheetId="13" r:id="rId7"/>
    <sheet name="Водоснабжение и канал." sheetId="12" r:id="rId8"/>
    <sheet name="ФОТ" sheetId="16" r:id="rId9"/>
    <sheet name="Банк" sheetId="17" r:id="rId10"/>
  </sheets>
  <definedNames>
    <definedName name="_xlnm.Print_Area" localSheetId="2">'Смета Ямская 90 с затр.2015'!$A$1:$T$48</definedName>
  </definedNames>
  <calcPr calcId="152511"/>
</workbook>
</file>

<file path=xl/calcChain.xml><?xml version="1.0" encoding="utf-8"?>
<calcChain xmlns="http://schemas.openxmlformats.org/spreadsheetml/2006/main">
  <c r="H48" i="19" l="1"/>
  <c r="I49" i="1"/>
  <c r="D9" i="12" l="1"/>
  <c r="D10" i="12"/>
  <c r="D11" i="12"/>
  <c r="D12" i="12"/>
  <c r="D13" i="12"/>
  <c r="D14" i="12"/>
  <c r="D15" i="12"/>
  <c r="F4" i="1" l="1"/>
  <c r="F4" i="19"/>
  <c r="J33" i="19"/>
  <c r="J32" i="19"/>
  <c r="J31" i="19"/>
  <c r="J30" i="19"/>
  <c r="J29" i="19"/>
  <c r="J28" i="19"/>
  <c r="J27" i="19"/>
  <c r="J26" i="19"/>
  <c r="J24" i="19"/>
  <c r="J23" i="19"/>
  <c r="J21" i="19"/>
  <c r="J20" i="19"/>
  <c r="J18" i="19"/>
  <c r="J17" i="19"/>
  <c r="J16" i="19"/>
  <c r="J15" i="19"/>
  <c r="J13" i="19"/>
  <c r="J11" i="19"/>
  <c r="J10" i="19"/>
  <c r="J8" i="19" l="1"/>
  <c r="H38" i="19"/>
  <c r="G38" i="19"/>
  <c r="F37" i="19"/>
  <c r="G37" i="19" s="1"/>
  <c r="G36" i="19" s="1"/>
  <c r="K34" i="19"/>
  <c r="G46" i="19" s="1"/>
  <c r="F34" i="19"/>
  <c r="H34" i="19" s="1"/>
  <c r="F33" i="19"/>
  <c r="H33" i="19" s="1"/>
  <c r="G30" i="19"/>
  <c r="F30" i="19"/>
  <c r="H30" i="19" s="1"/>
  <c r="F29" i="19"/>
  <c r="H29" i="19" s="1"/>
  <c r="F28" i="19"/>
  <c r="G28" i="19" s="1"/>
  <c r="F24" i="19"/>
  <c r="H24" i="19" s="1"/>
  <c r="F23" i="19"/>
  <c r="G23" i="19" s="1"/>
  <c r="H21" i="19"/>
  <c r="F21" i="19"/>
  <c r="G21" i="19" s="1"/>
  <c r="G20" i="19"/>
  <c r="F20" i="19"/>
  <c r="H20" i="19" s="1"/>
  <c r="F19" i="19"/>
  <c r="G19" i="19" s="1"/>
  <c r="F15" i="19"/>
  <c r="G15" i="19" s="1"/>
  <c r="F13" i="19"/>
  <c r="H13" i="19" s="1"/>
  <c r="F31" i="19"/>
  <c r="F37" i="1"/>
  <c r="F33" i="1"/>
  <c r="F31" i="1"/>
  <c r="F27" i="1"/>
  <c r="F15" i="1"/>
  <c r="F10" i="1"/>
  <c r="G13" i="19" l="1"/>
  <c r="F46" i="19"/>
  <c r="G24" i="19"/>
  <c r="G33" i="19"/>
  <c r="G29" i="19"/>
  <c r="G31" i="19"/>
  <c r="H31" i="19"/>
  <c r="K36" i="19"/>
  <c r="G47" i="19" s="1"/>
  <c r="H15" i="19"/>
  <c r="H19" i="19"/>
  <c r="H23" i="19"/>
  <c r="H28" i="19"/>
  <c r="H37" i="19"/>
  <c r="F10" i="19"/>
  <c r="F22" i="19"/>
  <c r="F27" i="19"/>
  <c r="F36" i="19"/>
  <c r="F47" i="19" s="1"/>
  <c r="D5" i="13"/>
  <c r="G27" i="19" l="1"/>
  <c r="H27" i="19"/>
  <c r="G10" i="19"/>
  <c r="H10" i="19"/>
  <c r="H8" i="19" s="1"/>
  <c r="G22" i="19"/>
  <c r="H22" i="19"/>
  <c r="F24" i="1" l="1"/>
  <c r="H24" i="1" s="1"/>
  <c r="G47" i="1"/>
  <c r="H47" i="1" s="1"/>
  <c r="G37" i="1"/>
  <c r="F23" i="1"/>
  <c r="H23" i="1" s="1"/>
  <c r="F21" i="1"/>
  <c r="H21" i="1" s="1"/>
  <c r="F20" i="1"/>
  <c r="H20" i="1" s="1"/>
  <c r="G20" i="1" l="1"/>
  <c r="G24" i="1"/>
  <c r="G21" i="1" l="1"/>
  <c r="G23" i="1"/>
  <c r="F34" i="1"/>
  <c r="J34" i="1"/>
  <c r="F19" i="1"/>
  <c r="G19" i="1" s="1"/>
  <c r="D8" i="12"/>
  <c r="D7" i="12"/>
  <c r="D6" i="12"/>
  <c r="D5" i="12"/>
  <c r="H34" i="1" l="1"/>
  <c r="F47" i="1"/>
  <c r="C8" i="4"/>
  <c r="C7" i="4"/>
  <c r="C6" i="4"/>
  <c r="C5" i="4"/>
  <c r="C4" i="4"/>
  <c r="E12" i="10" l="1"/>
  <c r="E11" i="10" s="1"/>
  <c r="E10" i="10"/>
  <c r="E9" i="10"/>
  <c r="F9" i="10" l="1"/>
  <c r="F12" i="19" s="1"/>
  <c r="L10" i="4"/>
  <c r="H12" i="19" l="1"/>
  <c r="G12" i="19"/>
  <c r="F12" i="1"/>
  <c r="H12" i="1" s="1"/>
  <c r="I15" i="16"/>
  <c r="I14" i="16"/>
  <c r="I13" i="16"/>
  <c r="J13" i="16" s="1"/>
  <c r="I12" i="16"/>
  <c r="J12" i="16" s="1"/>
  <c r="J15" i="16" l="1"/>
  <c r="K15" i="16" s="1"/>
  <c r="G12" i="1"/>
  <c r="F30" i="1"/>
  <c r="G30" i="1" l="1"/>
  <c r="G31" i="1"/>
  <c r="H33" i="1"/>
  <c r="F29" i="1"/>
  <c r="G29" i="1" s="1"/>
  <c r="F28" i="1"/>
  <c r="G28" i="1" s="1"/>
  <c r="F22" i="1"/>
  <c r="G33" i="1"/>
  <c r="E34" i="16"/>
  <c r="D9" i="13"/>
  <c r="G15" i="1" l="1"/>
  <c r="G10" i="1"/>
  <c r="H22" i="1"/>
  <c r="G22" i="1"/>
  <c r="G27" i="1"/>
  <c r="H27" i="1"/>
  <c r="I5" i="17"/>
  <c r="G4" i="17"/>
  <c r="I34" i="16"/>
  <c r="G32" i="16"/>
  <c r="G31" i="16"/>
  <c r="J14" i="16"/>
  <c r="K14" i="16" s="1"/>
  <c r="K13" i="16"/>
  <c r="K12" i="16"/>
  <c r="I11" i="16"/>
  <c r="J11" i="16" s="1"/>
  <c r="I10" i="16"/>
  <c r="I9" i="16"/>
  <c r="J9" i="16" s="1"/>
  <c r="I8" i="16"/>
  <c r="J8" i="16" s="1"/>
  <c r="I7" i="16"/>
  <c r="J7" i="16" s="1"/>
  <c r="K8" i="16" l="1"/>
  <c r="J10" i="16"/>
  <c r="K10" i="16" s="1"/>
  <c r="J4" i="17"/>
  <c r="K7" i="16"/>
  <c r="K9" i="16"/>
  <c r="K11" i="16"/>
  <c r="F26" i="1" l="1"/>
  <c r="H26" i="1" s="1"/>
  <c r="F26" i="19"/>
  <c r="K17" i="16"/>
  <c r="C25" i="16" s="1"/>
  <c r="C24" i="16"/>
  <c r="G26" i="1" l="1"/>
  <c r="G26" i="19"/>
  <c r="H26" i="19"/>
  <c r="C22" i="16"/>
  <c r="F22" i="16" s="1"/>
  <c r="F25" i="16" s="1"/>
  <c r="H22" i="16" l="1"/>
  <c r="H25" i="16" s="1"/>
  <c r="D18" i="12"/>
  <c r="D8" i="13"/>
  <c r="J22" i="16" l="1"/>
  <c r="J25" i="16" s="1"/>
  <c r="G38" i="1"/>
  <c r="F36" i="1"/>
  <c r="F48" i="1" s="1"/>
  <c r="D7" i="13"/>
  <c r="D6" i="13"/>
  <c r="D4" i="13"/>
  <c r="D3" i="13"/>
  <c r="D17" i="12"/>
  <c r="C27" i="12"/>
  <c r="D26" i="12"/>
  <c r="D25" i="12"/>
  <c r="D24" i="12"/>
  <c r="D23" i="12"/>
  <c r="D4" i="12"/>
  <c r="D3" i="12"/>
  <c r="D11" i="11"/>
  <c r="D10" i="11"/>
  <c r="D9" i="11"/>
  <c r="C19" i="11"/>
  <c r="D18" i="11"/>
  <c r="D17" i="11"/>
  <c r="D16" i="11"/>
  <c r="D15" i="11"/>
  <c r="D8" i="11"/>
  <c r="D7" i="11"/>
  <c r="D6" i="11"/>
  <c r="D5" i="11"/>
  <c r="D4" i="11"/>
  <c r="D3" i="11"/>
  <c r="E4" i="10"/>
  <c r="F4" i="10" s="1"/>
  <c r="H4" i="10" s="1"/>
  <c r="I4" i="10" s="1"/>
  <c r="F11" i="19" s="1"/>
  <c r="F32" i="1" l="1"/>
  <c r="F25" i="1" s="1"/>
  <c r="F32" i="19"/>
  <c r="D20" i="12"/>
  <c r="F18" i="19" s="1"/>
  <c r="G11" i="19"/>
  <c r="G8" i="19" s="1"/>
  <c r="H11" i="19"/>
  <c r="F8" i="19"/>
  <c r="F11" i="1"/>
  <c r="D10" i="13"/>
  <c r="G36" i="1"/>
  <c r="D12" i="11"/>
  <c r="F16" i="19" s="1"/>
  <c r="F18" i="1"/>
  <c r="G5" i="4"/>
  <c r="K5" i="4" s="1"/>
  <c r="G6" i="4"/>
  <c r="K6" i="4" s="1"/>
  <c r="G7" i="4"/>
  <c r="K7" i="4" s="1"/>
  <c r="G8" i="4"/>
  <c r="K8" i="4" s="1"/>
  <c r="G4" i="4"/>
  <c r="K4" i="4" s="1"/>
  <c r="G32" i="19" l="1"/>
  <c r="G25" i="19" s="1"/>
  <c r="H32" i="19"/>
  <c r="H25" i="19" s="1"/>
  <c r="F25" i="19"/>
  <c r="F45" i="19" s="1"/>
  <c r="F17" i="1"/>
  <c r="G17" i="1" s="1"/>
  <c r="F17" i="19"/>
  <c r="H18" i="19"/>
  <c r="G18" i="19"/>
  <c r="G32" i="1"/>
  <c r="H16" i="19"/>
  <c r="G16" i="19"/>
  <c r="H11" i="1"/>
  <c r="H18" i="1"/>
  <c r="G18" i="1"/>
  <c r="F16" i="1"/>
  <c r="H16" i="1" s="1"/>
  <c r="H17" i="1"/>
  <c r="G11" i="1"/>
  <c r="J36" i="1"/>
  <c r="H48" i="1" s="1"/>
  <c r="G48" i="1"/>
  <c r="G17" i="19" l="1"/>
  <c r="G14" i="19" s="1"/>
  <c r="G7" i="19" s="1"/>
  <c r="H17" i="19"/>
  <c r="H14" i="19" s="1"/>
  <c r="H7" i="19" s="1"/>
  <c r="K25" i="19"/>
  <c r="G45" i="19" s="1"/>
  <c r="F14" i="19"/>
  <c r="F7" i="19" s="1"/>
  <c r="F44" i="19" s="1"/>
  <c r="F48" i="19" s="1"/>
  <c r="F14" i="1"/>
  <c r="F13" i="1"/>
  <c r="F8" i="1" s="1"/>
  <c r="G16" i="1"/>
  <c r="G14" i="1" s="1"/>
  <c r="G25" i="1"/>
  <c r="G46" i="1" s="1"/>
  <c r="K7" i="19" l="1"/>
  <c r="G44" i="19" s="1"/>
  <c r="G48" i="19"/>
  <c r="G13" i="1"/>
  <c r="H13" i="1"/>
  <c r="J25" i="1"/>
  <c r="H46" i="1" s="1"/>
  <c r="H29" i="1"/>
  <c r="H30" i="1"/>
  <c r="H32" i="1"/>
  <c r="H31" i="1"/>
  <c r="H28" i="1"/>
  <c r="H19" i="1"/>
  <c r="I5" i="4" l="1"/>
  <c r="I6" i="4"/>
  <c r="I7" i="4"/>
  <c r="I8" i="4"/>
  <c r="I4" i="4"/>
  <c r="H38" i="1"/>
  <c r="H37" i="1"/>
  <c r="F46" i="1"/>
  <c r="H15" i="1"/>
  <c r="H10" i="1"/>
  <c r="H8" i="1" s="1"/>
  <c r="G8" i="1" l="1"/>
  <c r="G7" i="1" s="1"/>
  <c r="H25" i="1"/>
  <c r="F7" i="1"/>
  <c r="H14" i="1"/>
  <c r="H7" i="1" s="1"/>
  <c r="F45" i="1" l="1"/>
  <c r="F49" i="1" s="1"/>
  <c r="J7" i="1"/>
  <c r="H45" i="1" s="1"/>
  <c r="H49" i="1" s="1"/>
  <c r="G45" i="1" l="1"/>
  <c r="G49" i="1" s="1"/>
</calcChain>
</file>

<file path=xl/comments1.xml><?xml version="1.0" encoding="utf-8"?>
<comments xmlns="http://schemas.openxmlformats.org/spreadsheetml/2006/main">
  <authors>
    <author>111</author>
    <author>Юрий</author>
    <author>Yuriy</author>
  </authors>
  <commentList>
    <comment ref="F10" authorId="0" shapeId="0">
      <text>
        <r>
          <rPr>
            <b/>
            <sz val="9"/>
            <color indexed="81"/>
            <rFont val="Tahoma"/>
            <family val="2"/>
            <charset val="204"/>
          </rPr>
          <t>111:</t>
        </r>
        <r>
          <rPr>
            <sz val="9"/>
            <color indexed="81"/>
            <rFont val="Tahoma"/>
            <family val="2"/>
            <charset val="204"/>
          </rPr>
          <t xml:space="preserve">
Договор с клининговой компанией.
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  <charset val="204"/>
          </rPr>
          <t>111:</t>
        </r>
        <r>
          <rPr>
            <sz val="9"/>
            <color indexed="81"/>
            <rFont val="Tahoma"/>
            <family val="2"/>
            <charset val="204"/>
          </rPr>
          <t xml:space="preserve">
По договору с клининговой компанией.
За влажную уборку в воскресенье дополнительно 800 руб. за дом.</t>
        </r>
      </text>
    </comment>
    <comment ref="F16" authorId="1" shapeId="0">
      <text>
        <r>
          <rPr>
            <b/>
            <sz val="9"/>
            <color indexed="81"/>
            <rFont val="Tahoma"/>
            <family val="2"/>
            <charset val="204"/>
          </rPr>
          <t>Юрий:</t>
        </r>
        <r>
          <rPr>
            <sz val="9"/>
            <color indexed="81"/>
            <rFont val="Tahoma"/>
            <family val="2"/>
            <charset val="204"/>
          </rPr>
          <t xml:space="preserve">
Увеличение за счет замены светильников на светодиодные.</t>
        </r>
      </text>
    </comment>
    <comment ref="F17" authorId="1" shapeId="0">
      <text>
        <r>
          <rPr>
            <b/>
            <sz val="9"/>
            <color indexed="81"/>
            <rFont val="Tahoma"/>
            <family val="2"/>
            <charset val="204"/>
          </rPr>
          <t>Юрий:</t>
        </r>
        <r>
          <rPr>
            <sz val="9"/>
            <color indexed="81"/>
            <rFont val="Tahoma"/>
            <family val="2"/>
            <charset val="204"/>
          </rPr>
          <t xml:space="preserve">
Увеличение за счет перемещения из ФОТ стоимости ТО.</t>
        </r>
      </text>
    </comment>
    <comment ref="F18" authorId="1" shapeId="0">
      <text>
        <r>
          <rPr>
            <b/>
            <sz val="9"/>
            <color indexed="81"/>
            <rFont val="Tahoma"/>
            <family val="2"/>
            <charset val="204"/>
          </rPr>
          <t>Юрий:</t>
        </r>
        <r>
          <rPr>
            <sz val="9"/>
            <color indexed="81"/>
            <rFont val="Tahoma"/>
            <family val="2"/>
            <charset val="204"/>
          </rPr>
          <t xml:space="preserve">
Увеличение за счет замены кранов и сгнивших участков трубопроводов</t>
        </r>
      </text>
    </comment>
    <comment ref="F19" authorId="1" shapeId="0">
      <text>
        <r>
          <rPr>
            <b/>
            <sz val="9"/>
            <color indexed="81"/>
            <rFont val="Tahoma"/>
            <family val="2"/>
            <charset val="204"/>
          </rPr>
          <t>Юрий:</t>
        </r>
        <r>
          <rPr>
            <sz val="9"/>
            <color indexed="81"/>
            <rFont val="Tahoma"/>
            <family val="2"/>
            <charset val="204"/>
          </rPr>
          <t xml:space="preserve">
Необходимо восстановить работу ППС.
ЗП мастера с лицензией на обслуживание.
Стоимость материалов после оценки состояния.</t>
        </r>
      </text>
    </comment>
    <comment ref="F20" authorId="1" shapeId="0">
      <text>
        <r>
          <rPr>
            <b/>
            <sz val="9"/>
            <color indexed="81"/>
            <rFont val="Tahoma"/>
            <family val="2"/>
            <charset val="204"/>
          </rPr>
          <t>Юрий:</t>
        </r>
        <r>
          <rPr>
            <sz val="9"/>
            <color indexed="81"/>
            <rFont val="Tahoma"/>
            <family val="2"/>
            <charset val="204"/>
          </rPr>
          <t xml:space="preserve">
Замена доводчиков, замков, уплотнительной ленты</t>
        </r>
      </text>
    </comment>
    <comment ref="F21" authorId="1" shapeId="0">
      <text>
        <r>
          <rPr>
            <b/>
            <sz val="9"/>
            <color indexed="81"/>
            <rFont val="Tahoma"/>
            <family val="2"/>
            <charset val="204"/>
          </rPr>
          <t>Юрий:</t>
        </r>
        <r>
          <rPr>
            <sz val="9"/>
            <color indexed="81"/>
            <rFont val="Tahoma"/>
            <family val="2"/>
            <charset val="204"/>
          </rPr>
          <t xml:space="preserve">
Сумма ТО по договору подряда и ежегодное переосвид.(3000 руб. за 1 лифт в год.</t>
        </r>
      </text>
    </comment>
    <comment ref="F22" authorId="1" shapeId="0">
      <text>
        <r>
          <rPr>
            <b/>
            <sz val="9"/>
            <color indexed="81"/>
            <rFont val="Tahoma"/>
            <family val="2"/>
            <charset val="204"/>
          </rPr>
          <t>Юрий:</t>
        </r>
        <r>
          <rPr>
            <sz val="9"/>
            <color indexed="81"/>
            <rFont val="Tahoma"/>
            <family val="2"/>
            <charset val="204"/>
          </rPr>
          <t xml:space="preserve">
Сумма страхования на все лифты 12000 руб. в год.</t>
        </r>
      </text>
    </comment>
    <comment ref="F27" authorId="0" shapeId="0">
      <text>
        <r>
          <rPr>
            <b/>
            <sz val="9"/>
            <color indexed="81"/>
            <rFont val="Tahoma"/>
            <family val="2"/>
            <charset val="204"/>
          </rPr>
          <t>111:</t>
        </r>
        <r>
          <rPr>
            <sz val="9"/>
            <color indexed="81"/>
            <rFont val="Tahoma"/>
            <family val="2"/>
            <charset val="204"/>
          </rPr>
          <t xml:space="preserve">
Договор на обслуживание программы Биллинг-онлайн</t>
        </r>
      </text>
    </comment>
    <comment ref="F28" authorId="1" shapeId="0">
      <text>
        <r>
          <rPr>
            <b/>
            <sz val="9"/>
            <color indexed="81"/>
            <rFont val="Tahoma"/>
            <family val="2"/>
            <charset val="204"/>
          </rPr>
          <t>Юрий:</t>
        </r>
        <r>
          <rPr>
            <sz val="9"/>
            <color indexed="81"/>
            <rFont val="Tahoma"/>
            <family val="2"/>
            <charset val="204"/>
          </rPr>
          <t xml:space="preserve">
Моб.связь мастера, сантехника, электрика, стац.телефон 68-88-42</t>
        </r>
      </text>
    </comment>
    <comment ref="F29" authorId="1" shapeId="0">
      <text>
        <r>
          <rPr>
            <b/>
            <sz val="9"/>
            <color indexed="81"/>
            <rFont val="Tahoma"/>
            <family val="2"/>
            <charset val="204"/>
          </rPr>
          <t>Юрий:</t>
        </r>
        <r>
          <rPr>
            <sz val="9"/>
            <color indexed="81"/>
            <rFont val="Tahoma"/>
            <family val="2"/>
            <charset val="204"/>
          </rPr>
          <t xml:space="preserve">
Аренда офиса с 01.02.2016 г. 27000 руб./мес плюс ЖКУ.</t>
        </r>
      </text>
    </comment>
    <comment ref="F30" authorId="1" shapeId="0">
      <text>
        <r>
          <rPr>
            <b/>
            <sz val="9"/>
            <color indexed="81"/>
            <rFont val="Tahoma"/>
            <family val="2"/>
            <charset val="204"/>
          </rPr>
          <t>Юрий:</t>
        </r>
        <r>
          <rPr>
            <sz val="9"/>
            <color indexed="81"/>
            <rFont val="Tahoma"/>
            <family val="2"/>
            <charset val="204"/>
          </rPr>
          <t xml:space="preserve">
Расчет на бумагу ежемесячно:
Кол-во лиц.счетов - 87+87+87+312=573
Кап.рем. - 87+87+573=486
Итого 1059 листов/500=2 пачки*200=400 руб.
В год 5000 руб.
Папки, файлы, ручки и т.д. 10000 руб./год.
</t>
        </r>
      </text>
    </comment>
    <comment ref="F31" authorId="2" shapeId="0">
      <text>
        <r>
          <rPr>
            <b/>
            <sz val="9"/>
            <color indexed="81"/>
            <rFont val="Tahoma"/>
            <family val="2"/>
            <charset val="204"/>
          </rPr>
          <t>Yuriy:</t>
        </r>
        <r>
          <rPr>
            <sz val="9"/>
            <color indexed="81"/>
            <rFont val="Tahoma"/>
            <family val="2"/>
            <charset val="204"/>
          </rPr>
          <t xml:space="preserve">
Договор подряда на ТО оргтехники, аренды удаленного сервера.
ТО ККТ+заправка картриджа.</t>
        </r>
      </text>
    </comment>
    <comment ref="F37" authorId="2" shapeId="0">
      <text>
        <r>
          <rPr>
            <b/>
            <sz val="9"/>
            <color indexed="81"/>
            <rFont val="Tahoma"/>
            <family val="2"/>
            <charset val="204"/>
          </rPr>
          <t>Yuriy:</t>
        </r>
        <r>
          <rPr>
            <sz val="9"/>
            <color indexed="81"/>
            <rFont val="Tahoma"/>
            <family val="2"/>
            <charset val="204"/>
          </rPr>
          <t xml:space="preserve">
Цена ТБО по договору с 01.04.2016 г. 165 руб.+100  люмин.ламп за год (28 руб./шт.).</t>
        </r>
      </text>
    </comment>
  </commentList>
</comments>
</file>

<file path=xl/comments2.xml><?xml version="1.0" encoding="utf-8"?>
<comments xmlns="http://schemas.openxmlformats.org/spreadsheetml/2006/main">
  <authors>
    <author>111</author>
    <author>Юрий</author>
    <author>Yuriy</author>
  </authors>
  <commentList>
    <comment ref="F10" authorId="0" shapeId="0">
      <text>
        <r>
          <rPr>
            <b/>
            <sz val="9"/>
            <color indexed="81"/>
            <rFont val="Tahoma"/>
            <family val="2"/>
            <charset val="204"/>
          </rPr>
          <t>111:</t>
        </r>
        <r>
          <rPr>
            <sz val="9"/>
            <color indexed="81"/>
            <rFont val="Tahoma"/>
            <family val="2"/>
            <charset val="204"/>
          </rPr>
          <t xml:space="preserve">
Договор с клининговой компанией.
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  <charset val="204"/>
          </rPr>
          <t>111:</t>
        </r>
        <r>
          <rPr>
            <sz val="9"/>
            <color indexed="81"/>
            <rFont val="Tahoma"/>
            <family val="2"/>
            <charset val="204"/>
          </rPr>
          <t xml:space="preserve">
По договору с клининговой компанией.
За влажную уборку в воскресенье дополнительно 800 руб. за дом.</t>
        </r>
      </text>
    </comment>
    <comment ref="F16" authorId="1" shapeId="0">
      <text>
        <r>
          <rPr>
            <b/>
            <sz val="9"/>
            <color indexed="81"/>
            <rFont val="Tahoma"/>
            <family val="2"/>
            <charset val="204"/>
          </rPr>
          <t>Юрий:</t>
        </r>
        <r>
          <rPr>
            <sz val="9"/>
            <color indexed="81"/>
            <rFont val="Tahoma"/>
            <family val="2"/>
            <charset val="204"/>
          </rPr>
          <t xml:space="preserve">
Увеличение за счет замены светильников на светодиодные.</t>
        </r>
      </text>
    </comment>
    <comment ref="F17" authorId="1" shapeId="0">
      <text>
        <r>
          <rPr>
            <b/>
            <sz val="9"/>
            <color indexed="81"/>
            <rFont val="Tahoma"/>
            <family val="2"/>
            <charset val="204"/>
          </rPr>
          <t>Юрий:</t>
        </r>
        <r>
          <rPr>
            <sz val="9"/>
            <color indexed="81"/>
            <rFont val="Tahoma"/>
            <family val="2"/>
            <charset val="204"/>
          </rPr>
          <t xml:space="preserve">
Увеличение за счет перемещения из ФОТ стоимости ТО.</t>
        </r>
      </text>
    </comment>
    <comment ref="F18" authorId="1" shapeId="0">
      <text>
        <r>
          <rPr>
            <b/>
            <sz val="9"/>
            <color indexed="81"/>
            <rFont val="Tahoma"/>
            <family val="2"/>
            <charset val="204"/>
          </rPr>
          <t>Юрий:</t>
        </r>
        <r>
          <rPr>
            <sz val="9"/>
            <color indexed="81"/>
            <rFont val="Tahoma"/>
            <family val="2"/>
            <charset val="204"/>
          </rPr>
          <t xml:space="preserve">
Увеличение за счет замены кранов и сгнивших участков трубопроводов</t>
        </r>
      </text>
    </comment>
    <comment ref="F19" authorId="1" shapeId="0">
      <text>
        <r>
          <rPr>
            <b/>
            <sz val="9"/>
            <color indexed="81"/>
            <rFont val="Tahoma"/>
            <family val="2"/>
            <charset val="204"/>
          </rPr>
          <t>Юрий:</t>
        </r>
        <r>
          <rPr>
            <sz val="9"/>
            <color indexed="81"/>
            <rFont val="Tahoma"/>
            <family val="2"/>
            <charset val="204"/>
          </rPr>
          <t xml:space="preserve">
Необходимо восстановить работу ППС.
ЗП мастера с лицензией на обслуживание.
Стоимость материалов после оценки состояния.</t>
        </r>
      </text>
    </comment>
    <comment ref="F20" authorId="1" shapeId="0">
      <text>
        <r>
          <rPr>
            <b/>
            <sz val="9"/>
            <color indexed="81"/>
            <rFont val="Tahoma"/>
            <family val="2"/>
            <charset val="204"/>
          </rPr>
          <t>Юрий:</t>
        </r>
        <r>
          <rPr>
            <sz val="9"/>
            <color indexed="81"/>
            <rFont val="Tahoma"/>
            <family val="2"/>
            <charset val="204"/>
          </rPr>
          <t xml:space="preserve">
Замена доводчиков, замков, уплотнительной ленты</t>
        </r>
      </text>
    </comment>
    <comment ref="F21" authorId="1" shapeId="0">
      <text>
        <r>
          <rPr>
            <b/>
            <sz val="9"/>
            <color indexed="81"/>
            <rFont val="Tahoma"/>
            <family val="2"/>
            <charset val="204"/>
          </rPr>
          <t>Юрий:</t>
        </r>
        <r>
          <rPr>
            <sz val="9"/>
            <color indexed="81"/>
            <rFont val="Tahoma"/>
            <family val="2"/>
            <charset val="204"/>
          </rPr>
          <t xml:space="preserve">
Сумма ТО по договору подряда и ежегодное переосвид.(3000 руб. за 1 лифт в год.</t>
        </r>
      </text>
    </comment>
    <comment ref="F22" authorId="1" shapeId="0">
      <text>
        <r>
          <rPr>
            <b/>
            <sz val="9"/>
            <color indexed="81"/>
            <rFont val="Tahoma"/>
            <family val="2"/>
            <charset val="204"/>
          </rPr>
          <t>Юрий:</t>
        </r>
        <r>
          <rPr>
            <sz val="9"/>
            <color indexed="81"/>
            <rFont val="Tahoma"/>
            <family val="2"/>
            <charset val="204"/>
          </rPr>
          <t xml:space="preserve">
Сумма страхования на все лифты 12000 руб. в год.</t>
        </r>
      </text>
    </comment>
    <comment ref="F27" authorId="0" shapeId="0">
      <text>
        <r>
          <rPr>
            <b/>
            <sz val="9"/>
            <color indexed="81"/>
            <rFont val="Tahoma"/>
            <family val="2"/>
            <charset val="204"/>
          </rPr>
          <t>111:</t>
        </r>
        <r>
          <rPr>
            <sz val="9"/>
            <color indexed="81"/>
            <rFont val="Tahoma"/>
            <family val="2"/>
            <charset val="204"/>
          </rPr>
          <t xml:space="preserve">
Договор на обслуживание программы Биллинг-онлайн</t>
        </r>
      </text>
    </comment>
    <comment ref="F28" authorId="1" shapeId="0">
      <text>
        <r>
          <rPr>
            <b/>
            <sz val="9"/>
            <color indexed="81"/>
            <rFont val="Tahoma"/>
            <family val="2"/>
            <charset val="204"/>
          </rPr>
          <t>Юрий:</t>
        </r>
        <r>
          <rPr>
            <sz val="9"/>
            <color indexed="81"/>
            <rFont val="Tahoma"/>
            <family val="2"/>
            <charset val="204"/>
          </rPr>
          <t xml:space="preserve">
Моб.связь мастера, сантехника, электрика, стац.телефон 68-88-42</t>
        </r>
      </text>
    </comment>
    <comment ref="F29" authorId="1" shapeId="0">
      <text>
        <r>
          <rPr>
            <b/>
            <sz val="9"/>
            <color indexed="81"/>
            <rFont val="Tahoma"/>
            <family val="2"/>
            <charset val="204"/>
          </rPr>
          <t>Юрий:</t>
        </r>
        <r>
          <rPr>
            <sz val="9"/>
            <color indexed="81"/>
            <rFont val="Tahoma"/>
            <family val="2"/>
            <charset val="204"/>
          </rPr>
          <t xml:space="preserve">
Аренда офиса с 01.02.2016 г. 27000 руб./мес плюс ЖКУ.</t>
        </r>
      </text>
    </comment>
    <comment ref="F30" authorId="1" shapeId="0">
      <text>
        <r>
          <rPr>
            <b/>
            <sz val="9"/>
            <color indexed="81"/>
            <rFont val="Tahoma"/>
            <family val="2"/>
            <charset val="204"/>
          </rPr>
          <t>Юрий:</t>
        </r>
        <r>
          <rPr>
            <sz val="9"/>
            <color indexed="81"/>
            <rFont val="Tahoma"/>
            <family val="2"/>
            <charset val="204"/>
          </rPr>
          <t xml:space="preserve">
Расчет на бумагу ежемесячно:
Кол-во лиц.счетов - 87+87+87+312=573
Кап.рем. - 87+87+573=486
Итого 1059 листов/500=2 пачки*200=400 руб.
В год 5000 руб.
Папки, файлы, ручки и т.д. 10000 руб./год.
</t>
        </r>
      </text>
    </comment>
    <comment ref="F31" authorId="2" shapeId="0">
      <text>
        <r>
          <rPr>
            <b/>
            <sz val="9"/>
            <color indexed="81"/>
            <rFont val="Tahoma"/>
            <family val="2"/>
            <charset val="204"/>
          </rPr>
          <t>Yuriy:</t>
        </r>
        <r>
          <rPr>
            <sz val="9"/>
            <color indexed="81"/>
            <rFont val="Tahoma"/>
            <family val="2"/>
            <charset val="204"/>
          </rPr>
          <t xml:space="preserve">
Договор подряда на ТО оргтехники, аренды удаленного сервера.
ТО ККТ+заправка картриджа.</t>
        </r>
      </text>
    </comment>
    <comment ref="F37" authorId="2" shapeId="0">
      <text>
        <r>
          <rPr>
            <b/>
            <sz val="9"/>
            <color indexed="81"/>
            <rFont val="Tahoma"/>
            <family val="2"/>
            <charset val="204"/>
          </rPr>
          <t>Yuriy:</t>
        </r>
        <r>
          <rPr>
            <sz val="9"/>
            <color indexed="81"/>
            <rFont val="Tahoma"/>
            <family val="2"/>
            <charset val="204"/>
          </rPr>
          <t xml:space="preserve">
Цена ТБО по договору с 01.04.2016 г. 165 руб.+100  люмин.ламп за год (28 руб./шт.).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B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Выборочная засыпка</t>
        </r>
      </text>
    </comment>
  </commentList>
</comments>
</file>

<file path=xl/sharedStrings.xml><?xml version="1.0" encoding="utf-8"?>
<sst xmlns="http://schemas.openxmlformats.org/spreadsheetml/2006/main" count="446" uniqueCount="307">
  <si>
    <t>Приложение 1</t>
  </si>
  <si>
    <t>к смете расходов ООО УК "Финист"</t>
  </si>
  <si>
    <t>Штатное расписание ООО УК "Финист" на 2016г.</t>
  </si>
  <si>
    <t>Структурное подразделение</t>
  </si>
  <si>
    <t>Наименование</t>
  </si>
  <si>
    <t>код</t>
  </si>
  <si>
    <t>Должность (специальность, профессия), разряд, класс (категория) квалификации</t>
  </si>
  <si>
    <t>Количество штатных единиц</t>
  </si>
  <si>
    <t>Тарифная ставка (оклад) и пр., руб.</t>
  </si>
  <si>
    <t>Надбавки, руб.</t>
  </si>
  <si>
    <t>За разъездной характер работы</t>
  </si>
  <si>
    <t>Всего, руб</t>
  </si>
  <si>
    <t>Администрация</t>
  </si>
  <si>
    <t>Директор</t>
  </si>
  <si>
    <t>01</t>
  </si>
  <si>
    <t>Бухгалтерия</t>
  </si>
  <si>
    <t>Бухгалтер</t>
  </si>
  <si>
    <t>Кассир</t>
  </si>
  <si>
    <t>02</t>
  </si>
  <si>
    <t xml:space="preserve"> Мастер</t>
  </si>
  <si>
    <t>03</t>
  </si>
  <si>
    <t xml:space="preserve">Сантехник </t>
  </si>
  <si>
    <t>Производственный отдел</t>
  </si>
  <si>
    <t>За ненормированный рабочий день</t>
  </si>
  <si>
    <t>Годовой фонд оплаты труда ООО УК "Финист"</t>
  </si>
  <si>
    <t>Показатель</t>
  </si>
  <si>
    <t>ИТОГО (месяц)</t>
  </si>
  <si>
    <t>Районный коэффициент (15% юг Тюменской области)</t>
  </si>
  <si>
    <t>период</t>
  </si>
  <si>
    <t>Расходы на выплату заработной платы (год), руб.</t>
  </si>
  <si>
    <t>итого ФОТ, руб.</t>
  </si>
  <si>
    <t>Итого, руб                            (план на 2016г.)</t>
  </si>
  <si>
    <t>Юридические услуги</t>
  </si>
  <si>
    <t>Круглосуточный прием и распределение заявок (замещение диспетчера)</t>
  </si>
  <si>
    <t>Наименование услуг</t>
  </si>
  <si>
    <t>Расходы (год), руб.</t>
  </si>
  <si>
    <t>Расходы (месяц), руб.</t>
  </si>
  <si>
    <t>Паспортист</t>
  </si>
  <si>
    <t>Наименование статьи затрат</t>
  </si>
  <si>
    <t>пп</t>
  </si>
  <si>
    <t>1.1</t>
  </si>
  <si>
    <t>Расходы (в месяц), руб.</t>
  </si>
  <si>
    <t>1.2</t>
  </si>
  <si>
    <t>-</t>
  </si>
  <si>
    <t>Уборка снега (механизированная)</t>
  </si>
  <si>
    <t>Итого расходов (ПЛАН в год), руб.</t>
  </si>
  <si>
    <t>2</t>
  </si>
  <si>
    <t>2.1</t>
  </si>
  <si>
    <t>Уборка мест общего пользования</t>
  </si>
  <si>
    <t>2.2</t>
  </si>
  <si>
    <t>ТО тепловых сетей</t>
  </si>
  <si>
    <t>ТО электро сетей</t>
  </si>
  <si>
    <t>ТО сетей водоснабжения и канализации</t>
  </si>
  <si>
    <t>2.3</t>
  </si>
  <si>
    <t>2.4</t>
  </si>
  <si>
    <t>2.5</t>
  </si>
  <si>
    <t>Утепление помещений</t>
  </si>
  <si>
    <t>3</t>
  </si>
  <si>
    <t>3.1</t>
  </si>
  <si>
    <t>Расходы на оплату труда (ФОТ УК)</t>
  </si>
  <si>
    <t>Управление МКД, в том числе:</t>
  </si>
  <si>
    <t>Вывоз ТБО и КГМ</t>
  </si>
  <si>
    <t>Период</t>
  </si>
  <si>
    <t>январь</t>
  </si>
  <si>
    <t>февраль</t>
  </si>
  <si>
    <t>март</t>
  </si>
  <si>
    <t>ноябрь</t>
  </si>
  <si>
    <t>декабрь</t>
  </si>
  <si>
    <t>Статистическая норма осадков (толщина слоя), м</t>
  </si>
  <si>
    <t>Количество ходок, ед.</t>
  </si>
  <si>
    <t>Расходы на вывоз снега, руб.</t>
  </si>
  <si>
    <r>
      <t>S придомовой территории, подлежащей уборке, м</t>
    </r>
    <r>
      <rPr>
        <vertAlign val="superscript"/>
        <sz val="12"/>
        <color theme="1"/>
        <rFont val="Times New Roman"/>
        <family val="1"/>
        <charset val="204"/>
      </rPr>
      <t>2</t>
    </r>
  </si>
  <si>
    <r>
      <t>Объем авто, м</t>
    </r>
    <r>
      <rPr>
        <vertAlign val="superscript"/>
        <sz val="12"/>
        <color theme="1"/>
        <rFont val="Times New Roman"/>
        <family val="1"/>
        <charset val="204"/>
      </rPr>
      <t>3</t>
    </r>
  </si>
  <si>
    <r>
      <t>Стоимость вывоза 1 м</t>
    </r>
    <r>
      <rPr>
        <vertAlign val="superscript"/>
        <sz val="12"/>
        <color theme="1"/>
        <rFont val="Times New Roman"/>
        <family val="1"/>
        <charset val="204"/>
      </rPr>
      <t>3</t>
    </r>
  </si>
  <si>
    <t>Расходы по оплате производственных функций, переданных на исполнение третьим лицам (на условиях договора аутсорсинга)</t>
  </si>
  <si>
    <t xml:space="preserve">Электрик </t>
  </si>
  <si>
    <t>подряд (1 ед)</t>
  </si>
  <si>
    <t>утв. Приказом № от 01.01.2016г.</t>
  </si>
  <si>
    <t>Обслуживание расчетного счета ООО</t>
  </si>
  <si>
    <r>
      <t>Расходы на 1м</t>
    </r>
    <r>
      <rPr>
        <b/>
        <vertAlign val="superscript"/>
        <sz val="12"/>
        <color theme="1"/>
        <rFont val="Times New Roman"/>
        <family val="1"/>
        <charset val="204"/>
      </rPr>
      <t>2</t>
    </r>
  </si>
  <si>
    <t>ТО ППС</t>
  </si>
  <si>
    <t>2.6</t>
  </si>
  <si>
    <t>2.7</t>
  </si>
  <si>
    <t>Биллинг</t>
  </si>
  <si>
    <t>Обслуживание лифтового хозяйства</t>
  </si>
  <si>
    <t>Содержание и обслуживание домофона</t>
  </si>
  <si>
    <t>Усуги связи</t>
  </si>
  <si>
    <t>1.1.1</t>
  </si>
  <si>
    <t>1.1.2</t>
  </si>
  <si>
    <t>1.1.3</t>
  </si>
  <si>
    <t>1.2.1</t>
  </si>
  <si>
    <t>1.2.2</t>
  </si>
  <si>
    <t>1.2.3</t>
  </si>
  <si>
    <t>1.2.4</t>
  </si>
  <si>
    <t>1.2.5</t>
  </si>
  <si>
    <t>1.2.6</t>
  </si>
  <si>
    <t>1.2.8</t>
  </si>
  <si>
    <t>1.2.9</t>
  </si>
  <si>
    <t>Содержание придомовой территории МКД, в т.ч.:</t>
  </si>
  <si>
    <t>Содержание и обслуживание общего имущества МКД, в том числе:</t>
  </si>
  <si>
    <t>КОММУНАЛЬНЫЕ УСЛУГИ</t>
  </si>
  <si>
    <t>Уборка придомовой территории (вкл. работы и расходые материалы)</t>
  </si>
  <si>
    <t>S МКД =</t>
  </si>
  <si>
    <t>S общ. ЖФ =</t>
  </si>
  <si>
    <r>
      <t>Объем вывоза, м</t>
    </r>
    <r>
      <rPr>
        <vertAlign val="superscript"/>
        <sz val="12"/>
        <color theme="1"/>
        <rFont val="Times New Roman"/>
        <family val="1"/>
        <charset val="204"/>
      </rPr>
      <t>3</t>
    </r>
  </si>
  <si>
    <t>№МКД</t>
  </si>
  <si>
    <t>S благоустройства, м2</t>
  </si>
  <si>
    <t>Объем 1 авто, м3</t>
  </si>
  <si>
    <t>Толщина слоя, м</t>
  </si>
  <si>
    <t>Необходимо , м3</t>
  </si>
  <si>
    <t>Кол-во авто</t>
  </si>
  <si>
    <t>Цена, руб.</t>
  </si>
  <si>
    <t>Сумма, руб.</t>
  </si>
  <si>
    <t>88, 90 , 92, 86</t>
  </si>
  <si>
    <t>Песок</t>
  </si>
  <si>
    <t>* Материалы для ТО электрохозяйства:</t>
  </si>
  <si>
    <t>Количество/год</t>
  </si>
  <si>
    <t>Цена</t>
  </si>
  <si>
    <t>Стоимость</t>
  </si>
  <si>
    <t>Сумма</t>
  </si>
  <si>
    <t>**Спецодежда:</t>
  </si>
  <si>
    <t>Костюм летний</t>
  </si>
  <si>
    <t>Костюм зимний</t>
  </si>
  <si>
    <t>Сапоги</t>
  </si>
  <si>
    <t>Валенки</t>
  </si>
  <si>
    <t>Лампа люмин. 18w</t>
  </si>
  <si>
    <t>Лампа накаливания 60w</t>
  </si>
  <si>
    <t>Патрон Е-27</t>
  </si>
  <si>
    <t>Автомат 16А</t>
  </si>
  <si>
    <t>Автомат 25А</t>
  </si>
  <si>
    <t>Автомат 40А</t>
  </si>
  <si>
    <t>Выключатель внутр.однокл.</t>
  </si>
  <si>
    <t>Кран шаровый Д15</t>
  </si>
  <si>
    <t>Кран шаровый Д20</t>
  </si>
  <si>
    <t>Муфта комб. 50*40,25*32</t>
  </si>
  <si>
    <t>Поверка манометров</t>
  </si>
  <si>
    <t>Итого расходов за год, руб.</t>
  </si>
  <si>
    <t>1.1.3. Расчет стоимости  уборки снега  с придомовой территории МКД</t>
  </si>
  <si>
    <t>1.1.2. Расчет стоимости  уборки снега  с придомовой территории МКД</t>
  </si>
  <si>
    <t>1.2.2. Расчет стоимости  ТО электросетей</t>
  </si>
  <si>
    <t xml:space="preserve"> Материалы для ТО электросетей:</t>
  </si>
  <si>
    <t>1.2.3. Расчет стоимости  ТО тепловых сетей</t>
  </si>
  <si>
    <t>* Материалы для ТО тепловых сетей:</t>
  </si>
  <si>
    <t>Химическая промывка с разборкой теплообменника (средний)</t>
  </si>
  <si>
    <t>Химическая промывка с разборкой теплообменника (большой)</t>
  </si>
  <si>
    <t>Промывка теплового узла гидропневматическим способом с проведением гидравлического испытания</t>
  </si>
  <si>
    <t>Страхование ГО владельца опасного объекта</t>
  </si>
  <si>
    <t>Содержание общего имущества МКД, в т.ч.:</t>
  </si>
  <si>
    <t>1.2.10</t>
  </si>
  <si>
    <t>Канцелярские товары</t>
  </si>
  <si>
    <t>3.2</t>
  </si>
  <si>
    <t xml:space="preserve">Вывоз ТБО </t>
  </si>
  <si>
    <t>Вывоз КГМ</t>
  </si>
  <si>
    <t>Банк</t>
  </si>
  <si>
    <t>№ п/п</t>
  </si>
  <si>
    <t>Вид налога</t>
  </si>
  <si>
    <t>Сумма начислений по комм.услугам, руб.</t>
  </si>
  <si>
    <t>Сумма начислений по содержанию, руб.</t>
  </si>
  <si>
    <t>Сумма задолженности, руб.</t>
  </si>
  <si>
    <t>Ставка комиссии, %</t>
  </si>
  <si>
    <t>Сумма комиссии, руб.</t>
  </si>
  <si>
    <t>Ставка за обсл.р/с, руб.</t>
  </si>
  <si>
    <t>Сумма за обсл.р/сч в год, руб.</t>
  </si>
  <si>
    <t>Итого банк, руб.</t>
  </si>
  <si>
    <t>Комиссия</t>
  </si>
  <si>
    <t>Обслуживание р/сч</t>
  </si>
  <si>
    <t>Итого месяц, руб.</t>
  </si>
  <si>
    <t>Итого год, руб</t>
  </si>
  <si>
    <t>Содержание и обслуживание общего имущества МКД</t>
  </si>
  <si>
    <t>Управление МКД</t>
  </si>
  <si>
    <t>Итого</t>
  </si>
  <si>
    <t>Замена манометра</t>
  </si>
  <si>
    <t>1.2.4. Расчет стоимости  ТО водоснабжения и канализации</t>
  </si>
  <si>
    <t xml:space="preserve">ИТОГО </t>
  </si>
  <si>
    <t>взносы в ПФР (20%), руб.</t>
  </si>
  <si>
    <t>взносы в ФСС от НС (0,9%)</t>
  </si>
  <si>
    <t>Итого ФОТ</t>
  </si>
  <si>
    <t>Диспетчер (аутсорсинг)</t>
  </si>
  <si>
    <t>Юрист (аутсорсинг)</t>
  </si>
  <si>
    <t>Сантехник, 3 ед.</t>
  </si>
  <si>
    <t>Теплотехник (аутсорсинг)</t>
  </si>
  <si>
    <t>Ответственный за электрохоз. (электрик)</t>
  </si>
  <si>
    <t xml:space="preserve">Ответственный за теплохоз. </t>
  </si>
  <si>
    <t>Примечания:</t>
  </si>
  <si>
    <t xml:space="preserve">   Прямое подчинение</t>
  </si>
  <si>
    <t xml:space="preserve">  Взаимодействие</t>
  </si>
  <si>
    <t xml:space="preserve"> Распределительное подчинение</t>
  </si>
  <si>
    <t xml:space="preserve">Примечание: </t>
  </si>
  <si>
    <t>1.</t>
  </si>
  <si>
    <t>Начисление за ЖКУ</t>
  </si>
  <si>
    <t>Прием денежных средств за ЖКУ</t>
  </si>
  <si>
    <t>Проводка операций по р/с (расчеты с поставщиками и подрядчиками)</t>
  </si>
  <si>
    <t>Проводка операций по спец.счету кап.ремонта</t>
  </si>
  <si>
    <t>Ведение кадрового делопроизводства</t>
  </si>
  <si>
    <t>Ведение бухгалтерской отчетности</t>
  </si>
  <si>
    <t>2.</t>
  </si>
  <si>
    <t xml:space="preserve">Диспетчер (договор с компанией на круглосуточное диспетчирование): </t>
  </si>
  <si>
    <t xml:space="preserve">принимает информацию (заявки), </t>
  </si>
  <si>
    <t xml:space="preserve">распределяет по исполнителям, </t>
  </si>
  <si>
    <t>контролирует своевременность исполнения</t>
  </si>
  <si>
    <t>распределяет информацию по внешним потребителям</t>
  </si>
  <si>
    <t>другое</t>
  </si>
  <si>
    <t>3.</t>
  </si>
  <si>
    <t>Мастер (Для полноценного контроля за состоянием общедомового имущества необходимо два сотрудника)</t>
  </si>
  <si>
    <t>контролирует состояние общего имущества (МОП, инженерные системы)</t>
  </si>
  <si>
    <t>контролирует выполнение заявок (объем, сроки, качество)</t>
  </si>
  <si>
    <t>фиксирует входящую информацию в журналы УК</t>
  </si>
  <si>
    <t xml:space="preserve">контролирует штатную работу подчиненного персонала </t>
  </si>
  <si>
    <t>формирует заявки на расходные материалы с учетом утвержденной сметы</t>
  </si>
  <si>
    <t>закупает расходные материалы, контролирует хранение, установку, списание</t>
  </si>
  <si>
    <t>4.</t>
  </si>
  <si>
    <t>Сантехник (круглосуточный режим работы сутки через трое)</t>
  </si>
  <si>
    <t>выполняет работы по текущему содержанию сантехнического оборудования общего имущества</t>
  </si>
  <si>
    <t>выполняет круглосуточное аварийное обслуживание сантехнического обрудования общего имущества</t>
  </si>
  <si>
    <t xml:space="preserve">выполняет работы по обслуживанию по обслуживанию сантехнического оборудования собственников на платной основе </t>
  </si>
  <si>
    <t>5.</t>
  </si>
  <si>
    <t>Электрик</t>
  </si>
  <si>
    <t>выполняет работы по текущему содержанию электротехнического оборудования общего имущества</t>
  </si>
  <si>
    <t>выполняет круглосуточное аварийное обслуживание электротехнического обрудования общего имущества</t>
  </si>
  <si>
    <t xml:space="preserve">выполняет работы по обслуживанию по обслуживанию электротехнического оборудования собственников на платной основе </t>
  </si>
  <si>
    <t>6.</t>
  </si>
  <si>
    <t>Теплотехник</t>
  </si>
  <si>
    <t>выполняет работы по текущему содержанию автоматики систем теплоснабжения, водоснабжения общего имущества дома</t>
  </si>
  <si>
    <t>выполняет круглосуточное аварийное обслуживание систем теплоснабжения, водоснабжения общего имущества дома</t>
  </si>
  <si>
    <t>7.</t>
  </si>
  <si>
    <t>Прописка, выписка</t>
  </si>
  <si>
    <t>8.</t>
  </si>
  <si>
    <t>Юрист</t>
  </si>
  <si>
    <t>Претензионная работа с внешними партнерами (поставщики ресурсов, подрядчики на выполнение услуг, контолирующие органы и т.д.)</t>
  </si>
  <si>
    <t>Претензионная работа по долгу за ЖКУ (собственники)</t>
  </si>
  <si>
    <t>9.</t>
  </si>
  <si>
    <t>Дворник (Заключен договор на уборку придомовой территории. Сумма договора эквивалентна зарплате двух дворников и расходным материалам)</t>
  </si>
  <si>
    <t>Для механизированной уборки заключен договор подряда</t>
  </si>
  <si>
    <t>10.</t>
  </si>
  <si>
    <t>Уборщица (Заключен договор на уборку мест общего пользования. Сумма договора эквивалентна зарплате двух уборщиц и расходные материалы)</t>
  </si>
  <si>
    <t>11.</t>
  </si>
  <si>
    <t>Ответственные за электрохозяйство, теплохозяйство по совмещению (мастер, электрик)</t>
  </si>
  <si>
    <t>Дворник (аутсорсинг)</t>
  </si>
  <si>
    <t>Уборщица (аутсорсинг)</t>
  </si>
  <si>
    <t>Паспортист (подряд)</t>
  </si>
  <si>
    <t>Электрик (подряд)</t>
  </si>
  <si>
    <t>Расходы на ТО орг.техники</t>
  </si>
  <si>
    <t>Проводит ежемесячное снятие показаний ИПУ (отопление, водоснабжение, эл.энергия)</t>
  </si>
  <si>
    <t>Аренда офиса ООО, в т.ч. ЖКУ</t>
  </si>
  <si>
    <t>ТО КИПиА</t>
  </si>
  <si>
    <t>*С 1 января 2016 года услуга "обращение с твердыми коммунальными отходами"  отнесена к коммунальным услугам и исключена из состава жилищных услуг (Постановление Правительства РФ от 17 октября 2015 г. № 1112 "О внесении изменений в требования к осуществлению расчетов за ресурсы, необходимые для предоставления коммунальных услуг"). С 1 апреля 2016г. законом предусмотрен иной порядок расчета данной коммунальной услуги.Согласно изменениям, плата за новую коммунальную услугу будет рассчитываться исходя из нормативов накопления ТКО на одного человека.</t>
  </si>
  <si>
    <t>2.8</t>
  </si>
  <si>
    <t>Налог на УСН</t>
  </si>
  <si>
    <t>Плотник</t>
  </si>
  <si>
    <t>04</t>
  </si>
  <si>
    <t>Отпускные, руб./мес.</t>
  </si>
  <si>
    <t>Итого, руб./мес.</t>
  </si>
  <si>
    <r>
      <t>Тариф ООО УК "Финист" (на 1м2)</t>
    </r>
    <r>
      <rPr>
        <i/>
        <sz val="10"/>
        <color theme="1"/>
        <rFont val="Times New Roman"/>
        <family val="1"/>
        <charset val="204"/>
      </rPr>
      <t xml:space="preserve"> - с учетом рентабельности услуг 7%</t>
    </r>
  </si>
  <si>
    <t>Расходы на вывоз снега 2015 (без весны)-2016, руб.</t>
  </si>
  <si>
    <t>Мастер</t>
  </si>
  <si>
    <t>Сумма 88, 90, 92, руб.</t>
  </si>
  <si>
    <t>Кол-во, шт.</t>
  </si>
  <si>
    <t>Цена за ед., руб.</t>
  </si>
  <si>
    <t>Итого, руб.</t>
  </si>
  <si>
    <t>88, 90 , 92</t>
  </si>
  <si>
    <t>Цветы</t>
  </si>
  <si>
    <t>Кустарники</t>
  </si>
  <si>
    <t>Подсыпка песка на детскую площадку</t>
  </si>
  <si>
    <t>S 3МКД =</t>
  </si>
  <si>
    <t>1.1.4</t>
  </si>
  <si>
    <t>Рассада, кустарники, газон</t>
  </si>
  <si>
    <t>Газон</t>
  </si>
  <si>
    <t>Инвентарь</t>
  </si>
  <si>
    <t>Светильник эн.сберегающий НББ 01-174</t>
  </si>
  <si>
    <t>Стартер с-2</t>
  </si>
  <si>
    <t>Кран шаровый Д25</t>
  </si>
  <si>
    <t>Кран шаровый Д40</t>
  </si>
  <si>
    <t>Кран шаровый Д50</t>
  </si>
  <si>
    <t>Резьба Д15,20,32,40,57</t>
  </si>
  <si>
    <t>Сгон Д15,20,32,40,57</t>
  </si>
  <si>
    <t>К/г Д15,20,32,40,57</t>
  </si>
  <si>
    <t>Труба сталь Д 40,57,76</t>
  </si>
  <si>
    <t>Муфта п.п 20,25,32,40,57,63</t>
  </si>
  <si>
    <t>Угол п.п 20,25,40,50,63</t>
  </si>
  <si>
    <t>Накопительный фонд</t>
  </si>
  <si>
    <t>1.2.11</t>
  </si>
  <si>
    <t>Содержание и обслуживание автоматических ворот</t>
  </si>
  <si>
    <t>Прокладки пластин ТО на замену</t>
  </si>
  <si>
    <t>Кран вварной Д57,76</t>
  </si>
  <si>
    <t>Работа сварщика</t>
  </si>
  <si>
    <t>Работа</t>
  </si>
  <si>
    <t>Замена обвязки ТО ГВС и запорной арматуры</t>
  </si>
  <si>
    <t>УСН за 2015 год 176000 руб.</t>
  </si>
  <si>
    <t>Добавлено 800 руб. на дом за уборку в воскресенье</t>
  </si>
  <si>
    <t>Стоимость восстановления и обслуживания устанавливается</t>
  </si>
  <si>
    <t>Стоимость с 01.04.2016 г. 1м3 снижена со 193 до 165 руб.</t>
  </si>
  <si>
    <t>Факт.затраты 2015 г.</t>
  </si>
  <si>
    <t>План больше за счет переноса оплаты дворников</t>
  </si>
  <si>
    <t>План больше за счет переноса оплаты уборщиц</t>
  </si>
  <si>
    <t>Увеличение за счет переноса из ФОТ оплаты за ТО 42000 руб.</t>
  </si>
  <si>
    <t>Необходимость восстановить работу ПС и ДУ</t>
  </si>
  <si>
    <t>Увеличение за счет ежегодного переосвидетельствования лифтов</t>
  </si>
  <si>
    <t>Увеличение за счет затрат на моб.сантехника и мастера</t>
  </si>
  <si>
    <t>Увеличение за счет того, что факт.аренда была меньше плановой</t>
  </si>
  <si>
    <t>Уменьшение за счет переноса ФОТ дворников и уборщиц</t>
  </si>
  <si>
    <t>Увеличение за счет увеличения объема доходной части</t>
  </si>
  <si>
    <t>Увеличение за счет покупки светод.светильников.</t>
  </si>
  <si>
    <t>Резьба D 15,20,32,40,57</t>
  </si>
  <si>
    <t>Увеличение за счет необходимости замены аварийного участка</t>
  </si>
  <si>
    <r>
      <t xml:space="preserve">Плановая смета расходов ООО УК "Финист" на управление многоквартирным домом (ул.Ямская, д.90) и содержание его общего имущества на 2016 г.                                                                 </t>
    </r>
    <r>
      <rPr>
        <b/>
        <u/>
        <sz val="11"/>
        <color theme="1"/>
        <rFont val="Times New Roman"/>
        <family val="1"/>
        <charset val="204"/>
      </rPr>
      <t xml:space="preserve">   </t>
    </r>
  </si>
  <si>
    <t xml:space="preserve">Мастер, 2 ед. </t>
  </si>
  <si>
    <t xml:space="preserve">Бухгалтер, кассир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</si>
</sst>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1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7" fillId="0" borderId="0"/>
  </cellStyleXfs>
  <cellXfs count="290">
    <xf numFmtId="0" fontId="0" fillId="0" borderId="0" xfId="0"/>
    <xf numFmtId="0" fontId="4" fillId="0" borderId="1" xfId="0" applyFont="1" applyBorder="1"/>
    <xf numFmtId="3" fontId="4" fillId="0" borderId="1" xfId="0" applyNumberFormat="1" applyFont="1" applyBorder="1"/>
    <xf numFmtId="0" fontId="4" fillId="0" borderId="0" xfId="0" applyFont="1"/>
    <xf numFmtId="0" fontId="5" fillId="3" borderId="8" xfId="0" applyFont="1" applyFill="1" applyBorder="1" applyAlignment="1">
      <alignment horizontal="center" vertical="top" wrapText="1"/>
    </xf>
    <xf numFmtId="3" fontId="5" fillId="3" borderId="1" xfId="0" applyNumberFormat="1" applyFont="1" applyFill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/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4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18" fillId="0" borderId="1" xfId="0" applyFont="1" applyBorder="1" applyAlignment="1">
      <alignment horizontal="right" vertical="center" wrapText="1"/>
    </xf>
    <xf numFmtId="0" fontId="14" fillId="0" borderId="1" xfId="0" applyFont="1" applyBorder="1" applyAlignment="1">
      <alignment horizontal="right" vertical="center" wrapText="1"/>
    </xf>
    <xf numFmtId="1" fontId="0" fillId="0" borderId="1" xfId="0" applyNumberFormat="1" applyBorder="1" applyAlignment="1">
      <alignment horizontal="right" vertical="center" wrapText="1"/>
    </xf>
    <xf numFmtId="1" fontId="14" fillId="0" borderId="1" xfId="0" applyNumberFormat="1" applyFont="1" applyBorder="1" applyAlignment="1">
      <alignment horizontal="right" vertical="center" wrapText="1"/>
    </xf>
    <xf numFmtId="0" fontId="19" fillId="0" borderId="1" xfId="0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Fill="1"/>
    <xf numFmtId="0" fontId="3" fillId="2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1" fillId="5" borderId="0" xfId="0" applyFont="1" applyFill="1" applyAlignment="1">
      <alignment vertical="center" wrapText="1"/>
    </xf>
    <xf numFmtId="0" fontId="0" fillId="5" borderId="0" xfId="0" applyFill="1" applyAlignment="1">
      <alignment vertical="center" wrapText="1"/>
    </xf>
    <xf numFmtId="0" fontId="2" fillId="5" borderId="0" xfId="0" applyFont="1" applyFill="1" applyAlignment="1">
      <alignment vertical="center" wrapText="1"/>
    </xf>
    <xf numFmtId="0" fontId="5" fillId="5" borderId="0" xfId="0" applyFont="1" applyFill="1" applyAlignment="1">
      <alignment vertical="center" wrapText="1"/>
    </xf>
    <xf numFmtId="3" fontId="4" fillId="0" borderId="1" xfId="0" applyNumberFormat="1" applyFont="1" applyBorder="1" applyAlignment="1">
      <alignment vertical="center" wrapText="1"/>
    </xf>
    <xf numFmtId="1" fontId="4" fillId="0" borderId="9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1" fontId="7" fillId="2" borderId="0" xfId="0" applyNumberFormat="1" applyFont="1" applyFill="1" applyBorder="1" applyAlignment="1">
      <alignment horizontal="center" vertical="center" wrapText="1"/>
    </xf>
    <xf numFmtId="3" fontId="7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vertical="center" wrapText="1"/>
    </xf>
    <xf numFmtId="1" fontId="0" fillId="0" borderId="0" xfId="0" applyNumberFormat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" fontId="0" fillId="0" borderId="0" xfId="0" applyNumberFormat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Border="1" applyAlignment="1">
      <alignment horizontal="left" vertical="center" wrapText="1"/>
    </xf>
    <xf numFmtId="3" fontId="11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left" vertical="center" wrapText="1"/>
    </xf>
    <xf numFmtId="0" fontId="21" fillId="0" borderId="0" xfId="0" applyFont="1" applyAlignment="1">
      <alignment horizontal="center"/>
    </xf>
    <xf numFmtId="0" fontId="21" fillId="0" borderId="13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/>
    <xf numFmtId="2" fontId="21" fillId="0" borderId="13" xfId="0" applyNumberFormat="1" applyFont="1" applyBorder="1" applyAlignment="1">
      <alignment horizontal="center"/>
    </xf>
    <xf numFmtId="2" fontId="5" fillId="3" borderId="1" xfId="0" applyNumberFormat="1" applyFont="1" applyFill="1" applyBorder="1" applyAlignment="1">
      <alignment horizontal="center" vertical="top" wrapText="1"/>
    </xf>
    <xf numFmtId="2" fontId="11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/>
    <xf numFmtId="3" fontId="11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1" fontId="4" fillId="0" borderId="9" xfId="0" applyNumberFormat="1" applyFont="1" applyBorder="1" applyAlignment="1">
      <alignment horizontal="center" vertical="center" wrapText="1"/>
    </xf>
    <xf numFmtId="0" fontId="3" fillId="0" borderId="14" xfId="0" applyFont="1" applyBorder="1" applyAlignment="1"/>
    <xf numFmtId="0" fontId="3" fillId="0" borderId="0" xfId="0" applyFont="1" applyAlignment="1"/>
    <xf numFmtId="0" fontId="3" fillId="0" borderId="0" xfId="0" applyFont="1" applyAlignment="1">
      <alignment horizontal="center"/>
    </xf>
    <xf numFmtId="3" fontId="11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top" wrapText="1"/>
    </xf>
    <xf numFmtId="3" fontId="7" fillId="2" borderId="1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3" fontId="2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13" xfId="0" applyFont="1" applyBorder="1" applyAlignment="1">
      <alignment horizontal="right"/>
    </xf>
    <xf numFmtId="0" fontId="11" fillId="0" borderId="2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3" fontId="11" fillId="0" borderId="2" xfId="0" applyNumberFormat="1" applyFont="1" applyBorder="1" applyAlignment="1">
      <alignment horizontal="center" vertical="center" wrapText="1"/>
    </xf>
    <xf numFmtId="3" fontId="11" fillId="0" borderId="3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4" fontId="7" fillId="0" borderId="15" xfId="0" applyNumberFormat="1" applyFont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4" fontId="7" fillId="0" borderId="7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4" fontId="5" fillId="4" borderId="1" xfId="0" applyNumberFormat="1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3" xfId="0" applyFont="1" applyBorder="1" applyAlignment="1">
      <alignment horizontal="left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1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3" fontId="5" fillId="4" borderId="2" xfId="0" applyNumberFormat="1" applyFont="1" applyFill="1" applyBorder="1" applyAlignment="1">
      <alignment horizontal="center" vertical="center" wrapText="1"/>
    </xf>
    <xf numFmtId="3" fontId="5" fillId="4" borderId="3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" fontId="11" fillId="0" borderId="2" xfId="0" applyNumberFormat="1" applyFont="1" applyBorder="1" applyAlignment="1">
      <alignment horizontal="center" vertical="center" wrapText="1"/>
    </xf>
    <xf numFmtId="1" fontId="11" fillId="0" borderId="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12" fillId="0" borderId="4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left" vertical="top" wrapText="1"/>
    </xf>
    <xf numFmtId="0" fontId="12" fillId="0" borderId="5" xfId="0" applyFont="1" applyFill="1" applyBorder="1" applyAlignment="1">
      <alignment horizontal="left" vertical="top" wrapText="1"/>
    </xf>
    <xf numFmtId="0" fontId="12" fillId="0" borderId="6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horizontal="left" vertical="top" wrapText="1"/>
    </xf>
    <xf numFmtId="0" fontId="12" fillId="0" borderId="7" xfId="0" applyFont="1" applyFill="1" applyBorder="1" applyAlignment="1">
      <alignment horizontal="left" vertical="top" wrapText="1"/>
    </xf>
    <xf numFmtId="49" fontId="12" fillId="0" borderId="8" xfId="0" applyNumberFormat="1" applyFont="1" applyFill="1" applyBorder="1" applyAlignment="1">
      <alignment horizontal="center" vertical="top" wrapText="1"/>
    </xf>
    <xf numFmtId="49" fontId="12" fillId="0" borderId="9" xfId="0" applyNumberFormat="1" applyFont="1" applyFill="1" applyBorder="1" applyAlignment="1">
      <alignment horizontal="center" vertical="top" wrapText="1"/>
    </xf>
    <xf numFmtId="3" fontId="12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2" fontId="5" fillId="0" borderId="1" xfId="0" applyNumberFormat="1" applyFont="1" applyBorder="1" applyAlignment="1">
      <alignment horizontal="center" vertical="top" wrapText="1"/>
    </xf>
    <xf numFmtId="2" fontId="12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2" fillId="0" borderId="13" xfId="0" applyFont="1" applyBorder="1" applyAlignment="1">
      <alignment horizont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top" wrapText="1"/>
    </xf>
    <xf numFmtId="0" fontId="5" fillId="3" borderId="2" xfId="0" applyFont="1" applyFill="1" applyBorder="1" applyAlignment="1">
      <alignment horizontal="left" vertical="top" wrapText="1"/>
    </xf>
    <xf numFmtId="0" fontId="5" fillId="3" borderId="12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left" vertical="top" wrapText="1"/>
    </xf>
    <xf numFmtId="3" fontId="5" fillId="3" borderId="2" xfId="0" applyNumberFormat="1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center" wrapText="1"/>
    </xf>
    <xf numFmtId="2" fontId="7" fillId="3" borderId="2" xfId="0" applyNumberFormat="1" applyFont="1" applyFill="1" applyBorder="1" applyAlignment="1">
      <alignment horizontal="center" vertical="top" wrapText="1"/>
    </xf>
    <xf numFmtId="2" fontId="7" fillId="3" borderId="12" xfId="0" applyNumberFormat="1" applyFont="1" applyFill="1" applyBorder="1" applyAlignment="1">
      <alignment horizontal="center" vertical="top" wrapText="1"/>
    </xf>
    <xf numFmtId="2" fontId="7" fillId="3" borderId="3" xfId="0" applyNumberFormat="1" applyFont="1" applyFill="1" applyBorder="1" applyAlignment="1">
      <alignment horizontal="center" vertical="top" wrapText="1"/>
    </xf>
    <xf numFmtId="4" fontId="5" fillId="4" borderId="3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1" fontId="0" fillId="0" borderId="1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3" fillId="0" borderId="13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right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1" fontId="4" fillId="0" borderId="9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714375</xdr:colOff>
      <xdr:row>1</xdr:row>
      <xdr:rowOff>38100</xdr:rowOff>
    </xdr:from>
    <xdr:to>
      <xdr:col>4</xdr:col>
      <xdr:colOff>609600</xdr:colOff>
      <xdr:row>3</xdr:row>
      <xdr:rowOff>180975</xdr:rowOff>
    </xdr:to>
    <xdr:cxnSp macro="">
      <xdr:nvCxnSpPr>
        <xdr:cNvPr id="2" name="Прямая со стрелкой 1"/>
        <xdr:cNvCxnSpPr/>
      </xdr:nvCxnSpPr>
      <xdr:spPr>
        <a:xfrm flipH="1">
          <a:off x="4267200" y="428625"/>
          <a:ext cx="1304925" cy="72390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581026</xdr:colOff>
      <xdr:row>0</xdr:row>
      <xdr:rowOff>381000</xdr:rowOff>
    </xdr:from>
    <xdr:to>
      <xdr:col>5</xdr:col>
      <xdr:colOff>714375</xdr:colOff>
      <xdr:row>3</xdr:row>
      <xdr:rowOff>161925</xdr:rowOff>
    </xdr:to>
    <xdr:cxnSp macro="">
      <xdr:nvCxnSpPr>
        <xdr:cNvPr id="3" name="Прямая со стрелкой 2"/>
        <xdr:cNvCxnSpPr/>
      </xdr:nvCxnSpPr>
      <xdr:spPr>
        <a:xfrm>
          <a:off x="5543551" y="381000"/>
          <a:ext cx="1266824" cy="752475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581025</xdr:colOff>
      <xdr:row>1</xdr:row>
      <xdr:rowOff>9525</xdr:rowOff>
    </xdr:from>
    <xdr:to>
      <xdr:col>7</xdr:col>
      <xdr:colOff>495300</xdr:colOff>
      <xdr:row>3</xdr:row>
      <xdr:rowOff>180975</xdr:rowOff>
    </xdr:to>
    <xdr:cxnSp macro="">
      <xdr:nvCxnSpPr>
        <xdr:cNvPr id="4" name="Прямая со стрелкой 3"/>
        <xdr:cNvCxnSpPr/>
      </xdr:nvCxnSpPr>
      <xdr:spPr>
        <a:xfrm>
          <a:off x="5543550" y="400050"/>
          <a:ext cx="3057525" cy="752475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704850</xdr:colOff>
      <xdr:row>1</xdr:row>
      <xdr:rowOff>19050</xdr:rowOff>
    </xdr:from>
    <xdr:to>
      <xdr:col>4</xdr:col>
      <xdr:colOff>590550</xdr:colOff>
      <xdr:row>3</xdr:row>
      <xdr:rowOff>180975</xdr:rowOff>
    </xdr:to>
    <xdr:cxnSp macro="">
      <xdr:nvCxnSpPr>
        <xdr:cNvPr id="5" name="Прямая со стрелкой 4"/>
        <xdr:cNvCxnSpPr/>
      </xdr:nvCxnSpPr>
      <xdr:spPr>
        <a:xfrm flipH="1">
          <a:off x="1314450" y="409575"/>
          <a:ext cx="4238625" cy="74295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590550</xdr:colOff>
      <xdr:row>1</xdr:row>
      <xdr:rowOff>0</xdr:rowOff>
    </xdr:from>
    <xdr:to>
      <xdr:col>9</xdr:col>
      <xdr:colOff>638175</xdr:colOff>
      <xdr:row>3</xdr:row>
      <xdr:rowOff>180975</xdr:rowOff>
    </xdr:to>
    <xdr:cxnSp macro="">
      <xdr:nvCxnSpPr>
        <xdr:cNvPr id="6" name="Прямая со стрелкой 5"/>
        <xdr:cNvCxnSpPr/>
      </xdr:nvCxnSpPr>
      <xdr:spPr>
        <a:xfrm>
          <a:off x="5553075" y="390525"/>
          <a:ext cx="4772025" cy="76200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333375</xdr:colOff>
      <xdr:row>4</xdr:row>
      <xdr:rowOff>104775</xdr:rowOff>
    </xdr:from>
    <xdr:to>
      <xdr:col>1</xdr:col>
      <xdr:colOff>0</xdr:colOff>
      <xdr:row>4</xdr:row>
      <xdr:rowOff>104775</xdr:rowOff>
    </xdr:to>
    <xdr:cxnSp macro="">
      <xdr:nvCxnSpPr>
        <xdr:cNvPr id="7" name="Прямая соединительная линия 6"/>
        <xdr:cNvCxnSpPr/>
      </xdr:nvCxnSpPr>
      <xdr:spPr>
        <a:xfrm flipH="1">
          <a:off x="333375" y="1266825"/>
          <a:ext cx="27622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323850</xdr:colOff>
      <xdr:row>4</xdr:row>
      <xdr:rowOff>95250</xdr:rowOff>
    </xdr:from>
    <xdr:to>
      <xdr:col>0</xdr:col>
      <xdr:colOff>333375</xdr:colOff>
      <xdr:row>18</xdr:row>
      <xdr:rowOff>190500</xdr:rowOff>
    </xdr:to>
    <xdr:cxnSp macro="">
      <xdr:nvCxnSpPr>
        <xdr:cNvPr id="8" name="Прямая соединительная линия 7"/>
        <xdr:cNvCxnSpPr/>
      </xdr:nvCxnSpPr>
      <xdr:spPr>
        <a:xfrm>
          <a:off x="323850" y="1257300"/>
          <a:ext cx="9525" cy="35242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323850</xdr:colOff>
      <xdr:row>6</xdr:row>
      <xdr:rowOff>104775</xdr:rowOff>
    </xdr:from>
    <xdr:to>
      <xdr:col>1</xdr:col>
      <xdr:colOff>9525</xdr:colOff>
      <xdr:row>6</xdr:row>
      <xdr:rowOff>104775</xdr:rowOff>
    </xdr:to>
    <xdr:cxnSp macro="">
      <xdr:nvCxnSpPr>
        <xdr:cNvPr id="9" name="Прямая со стрелкой 8"/>
        <xdr:cNvCxnSpPr/>
      </xdr:nvCxnSpPr>
      <xdr:spPr>
        <a:xfrm>
          <a:off x="323850" y="1838325"/>
          <a:ext cx="295275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314325</xdr:colOff>
      <xdr:row>8</xdr:row>
      <xdr:rowOff>104775</xdr:rowOff>
    </xdr:from>
    <xdr:to>
      <xdr:col>1</xdr:col>
      <xdr:colOff>0</xdr:colOff>
      <xdr:row>8</xdr:row>
      <xdr:rowOff>104775</xdr:rowOff>
    </xdr:to>
    <xdr:cxnSp macro="">
      <xdr:nvCxnSpPr>
        <xdr:cNvPr id="10" name="Прямая со стрелкой 9"/>
        <xdr:cNvCxnSpPr/>
      </xdr:nvCxnSpPr>
      <xdr:spPr>
        <a:xfrm>
          <a:off x="314325" y="2219325"/>
          <a:ext cx="295275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304800</xdr:colOff>
      <xdr:row>10</xdr:row>
      <xdr:rowOff>171450</xdr:rowOff>
    </xdr:from>
    <xdr:to>
      <xdr:col>0</xdr:col>
      <xdr:colOff>600075</xdr:colOff>
      <xdr:row>10</xdr:row>
      <xdr:rowOff>171450</xdr:rowOff>
    </xdr:to>
    <xdr:cxnSp macro="">
      <xdr:nvCxnSpPr>
        <xdr:cNvPr id="11" name="Прямая со стрелкой 10"/>
        <xdr:cNvCxnSpPr/>
      </xdr:nvCxnSpPr>
      <xdr:spPr>
        <a:xfrm>
          <a:off x="304800" y="2667000"/>
          <a:ext cx="295275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323850</xdr:colOff>
      <xdr:row>12</xdr:row>
      <xdr:rowOff>209550</xdr:rowOff>
    </xdr:from>
    <xdr:to>
      <xdr:col>1</xdr:col>
      <xdr:colOff>9525</xdr:colOff>
      <xdr:row>12</xdr:row>
      <xdr:rowOff>209550</xdr:rowOff>
    </xdr:to>
    <xdr:cxnSp macro="">
      <xdr:nvCxnSpPr>
        <xdr:cNvPr id="12" name="Прямая со стрелкой 11"/>
        <xdr:cNvCxnSpPr/>
      </xdr:nvCxnSpPr>
      <xdr:spPr>
        <a:xfrm>
          <a:off x="323850" y="3257550"/>
          <a:ext cx="295275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314325</xdr:colOff>
      <xdr:row>14</xdr:row>
      <xdr:rowOff>95250</xdr:rowOff>
    </xdr:from>
    <xdr:to>
      <xdr:col>1</xdr:col>
      <xdr:colOff>0</xdr:colOff>
      <xdr:row>14</xdr:row>
      <xdr:rowOff>95250</xdr:rowOff>
    </xdr:to>
    <xdr:cxnSp macro="">
      <xdr:nvCxnSpPr>
        <xdr:cNvPr id="13" name="Прямая со стрелкой 12"/>
        <xdr:cNvCxnSpPr/>
      </xdr:nvCxnSpPr>
      <xdr:spPr>
        <a:xfrm>
          <a:off x="314325" y="3543300"/>
          <a:ext cx="295275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314325</xdr:colOff>
      <xdr:row>16</xdr:row>
      <xdr:rowOff>285750</xdr:rowOff>
    </xdr:from>
    <xdr:to>
      <xdr:col>1</xdr:col>
      <xdr:colOff>0</xdr:colOff>
      <xdr:row>16</xdr:row>
      <xdr:rowOff>285750</xdr:rowOff>
    </xdr:to>
    <xdr:cxnSp macro="">
      <xdr:nvCxnSpPr>
        <xdr:cNvPr id="14" name="Прямая со стрелкой 13"/>
        <xdr:cNvCxnSpPr/>
      </xdr:nvCxnSpPr>
      <xdr:spPr>
        <a:xfrm>
          <a:off x="314325" y="4114800"/>
          <a:ext cx="295275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323850</xdr:colOff>
      <xdr:row>18</xdr:row>
      <xdr:rowOff>180975</xdr:rowOff>
    </xdr:from>
    <xdr:to>
      <xdr:col>1</xdr:col>
      <xdr:colOff>9525</xdr:colOff>
      <xdr:row>18</xdr:row>
      <xdr:rowOff>180975</xdr:rowOff>
    </xdr:to>
    <xdr:cxnSp macro="">
      <xdr:nvCxnSpPr>
        <xdr:cNvPr id="15" name="Прямая со стрелкой 14"/>
        <xdr:cNvCxnSpPr/>
      </xdr:nvCxnSpPr>
      <xdr:spPr>
        <a:xfrm>
          <a:off x="323850" y="4772025"/>
          <a:ext cx="295275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704851</xdr:colOff>
      <xdr:row>5</xdr:row>
      <xdr:rowOff>9525</xdr:rowOff>
    </xdr:from>
    <xdr:to>
      <xdr:col>3</xdr:col>
      <xdr:colOff>723900</xdr:colOff>
      <xdr:row>14</xdr:row>
      <xdr:rowOff>95250</xdr:rowOff>
    </xdr:to>
    <xdr:cxnSp macro="">
      <xdr:nvCxnSpPr>
        <xdr:cNvPr id="16" name="Прямая соединительная линия 15"/>
        <xdr:cNvCxnSpPr/>
      </xdr:nvCxnSpPr>
      <xdr:spPr>
        <a:xfrm>
          <a:off x="4257676" y="1552575"/>
          <a:ext cx="19049" cy="1990725"/>
        </a:xfrm>
        <a:prstGeom prst="line">
          <a:avLst/>
        </a:prstGeom>
        <a:ln>
          <a:solidFill>
            <a:sysClr val="windowText" lastClr="00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1400175</xdr:colOff>
      <xdr:row>4</xdr:row>
      <xdr:rowOff>85725</xdr:rowOff>
    </xdr:from>
    <xdr:to>
      <xdr:col>3</xdr:col>
      <xdr:colOff>9525</xdr:colOff>
      <xdr:row>4</xdr:row>
      <xdr:rowOff>85725</xdr:rowOff>
    </xdr:to>
    <xdr:cxnSp macro="">
      <xdr:nvCxnSpPr>
        <xdr:cNvPr id="17" name="Прямая со стрелкой 16"/>
        <xdr:cNvCxnSpPr/>
      </xdr:nvCxnSpPr>
      <xdr:spPr>
        <a:xfrm>
          <a:off x="2009775" y="1247775"/>
          <a:ext cx="1552575" cy="0"/>
        </a:xfrm>
        <a:prstGeom prst="straightConnector1">
          <a:avLst/>
        </a:prstGeom>
        <a:ln>
          <a:solidFill>
            <a:sysClr val="windowText" lastClr="000000"/>
          </a:solidFill>
          <a:prstDash val="dash"/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6</xdr:row>
      <xdr:rowOff>85725</xdr:rowOff>
    </xdr:from>
    <xdr:to>
      <xdr:col>3</xdr:col>
      <xdr:colOff>704850</xdr:colOff>
      <xdr:row>6</xdr:row>
      <xdr:rowOff>85725</xdr:rowOff>
    </xdr:to>
    <xdr:cxnSp macro="">
      <xdr:nvCxnSpPr>
        <xdr:cNvPr id="18" name="Прямая со стрелкой 17"/>
        <xdr:cNvCxnSpPr/>
      </xdr:nvCxnSpPr>
      <xdr:spPr>
        <a:xfrm flipH="1">
          <a:off x="2019300" y="1819275"/>
          <a:ext cx="2238375" cy="0"/>
        </a:xfrm>
        <a:prstGeom prst="straightConnector1">
          <a:avLst/>
        </a:prstGeom>
        <a:ln>
          <a:solidFill>
            <a:sysClr val="windowText" lastClr="000000"/>
          </a:solidFill>
          <a:prstDash val="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8</xdr:row>
      <xdr:rowOff>76200</xdr:rowOff>
    </xdr:from>
    <xdr:to>
      <xdr:col>3</xdr:col>
      <xdr:colOff>704850</xdr:colOff>
      <xdr:row>8</xdr:row>
      <xdr:rowOff>76200</xdr:rowOff>
    </xdr:to>
    <xdr:cxnSp macro="">
      <xdr:nvCxnSpPr>
        <xdr:cNvPr id="19" name="Прямая со стрелкой 18"/>
        <xdr:cNvCxnSpPr/>
      </xdr:nvCxnSpPr>
      <xdr:spPr>
        <a:xfrm flipH="1">
          <a:off x="2019300" y="2190750"/>
          <a:ext cx="2238375" cy="0"/>
        </a:xfrm>
        <a:prstGeom prst="straightConnector1">
          <a:avLst/>
        </a:prstGeom>
        <a:ln>
          <a:solidFill>
            <a:sysClr val="windowText" lastClr="000000"/>
          </a:solidFill>
          <a:prstDash val="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1400175</xdr:colOff>
      <xdr:row>10</xdr:row>
      <xdr:rowOff>200025</xdr:rowOff>
    </xdr:from>
    <xdr:to>
      <xdr:col>3</xdr:col>
      <xdr:colOff>695325</xdr:colOff>
      <xdr:row>10</xdr:row>
      <xdr:rowOff>200025</xdr:rowOff>
    </xdr:to>
    <xdr:cxnSp macro="">
      <xdr:nvCxnSpPr>
        <xdr:cNvPr id="20" name="Прямая со стрелкой 19"/>
        <xdr:cNvCxnSpPr/>
      </xdr:nvCxnSpPr>
      <xdr:spPr>
        <a:xfrm flipH="1">
          <a:off x="2009775" y="2695575"/>
          <a:ext cx="2238375" cy="0"/>
        </a:xfrm>
        <a:prstGeom prst="straightConnector1">
          <a:avLst/>
        </a:prstGeom>
        <a:ln>
          <a:solidFill>
            <a:sysClr val="windowText" lastClr="000000"/>
          </a:solidFill>
          <a:prstDash val="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12</xdr:row>
      <xdr:rowOff>190500</xdr:rowOff>
    </xdr:from>
    <xdr:to>
      <xdr:col>3</xdr:col>
      <xdr:colOff>704850</xdr:colOff>
      <xdr:row>12</xdr:row>
      <xdr:rowOff>190500</xdr:rowOff>
    </xdr:to>
    <xdr:cxnSp macro="">
      <xdr:nvCxnSpPr>
        <xdr:cNvPr id="21" name="Прямая со стрелкой 20"/>
        <xdr:cNvCxnSpPr/>
      </xdr:nvCxnSpPr>
      <xdr:spPr>
        <a:xfrm flipH="1">
          <a:off x="2019300" y="3257550"/>
          <a:ext cx="2238375" cy="0"/>
        </a:xfrm>
        <a:prstGeom prst="straightConnector1">
          <a:avLst/>
        </a:prstGeom>
        <a:ln>
          <a:solidFill>
            <a:sysClr val="windowText" lastClr="000000"/>
          </a:solidFill>
          <a:prstDash val="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1390650</xdr:colOff>
      <xdr:row>14</xdr:row>
      <xdr:rowOff>85725</xdr:rowOff>
    </xdr:from>
    <xdr:to>
      <xdr:col>3</xdr:col>
      <xdr:colOff>685800</xdr:colOff>
      <xdr:row>14</xdr:row>
      <xdr:rowOff>85725</xdr:rowOff>
    </xdr:to>
    <xdr:cxnSp macro="">
      <xdr:nvCxnSpPr>
        <xdr:cNvPr id="22" name="Прямая со стрелкой 21"/>
        <xdr:cNvCxnSpPr/>
      </xdr:nvCxnSpPr>
      <xdr:spPr>
        <a:xfrm flipH="1">
          <a:off x="2000250" y="3533775"/>
          <a:ext cx="2238375" cy="0"/>
        </a:xfrm>
        <a:prstGeom prst="straightConnector1">
          <a:avLst/>
        </a:prstGeom>
        <a:ln>
          <a:solidFill>
            <a:sysClr val="windowText" lastClr="000000"/>
          </a:solidFill>
          <a:prstDash val="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23</xdr:row>
      <xdr:rowOff>209550</xdr:rowOff>
    </xdr:from>
    <xdr:to>
      <xdr:col>1</xdr:col>
      <xdr:colOff>1390650</xdr:colOff>
      <xdr:row>23</xdr:row>
      <xdr:rowOff>209550</xdr:rowOff>
    </xdr:to>
    <xdr:cxnSp macro="">
      <xdr:nvCxnSpPr>
        <xdr:cNvPr id="23" name="Прямая соединительная линия 22"/>
        <xdr:cNvCxnSpPr/>
      </xdr:nvCxnSpPr>
      <xdr:spPr>
        <a:xfrm>
          <a:off x="619125" y="5943600"/>
          <a:ext cx="1381125" cy="0"/>
        </a:xfrm>
        <a:prstGeom prst="line">
          <a:avLst/>
        </a:prstGeom>
        <a:ln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22</xdr:row>
      <xdr:rowOff>95250</xdr:rowOff>
    </xdr:from>
    <xdr:to>
      <xdr:col>2</xdr:col>
      <xdr:colOff>0</xdr:colOff>
      <xdr:row>22</xdr:row>
      <xdr:rowOff>95250</xdr:rowOff>
    </xdr:to>
    <xdr:cxnSp macro="">
      <xdr:nvCxnSpPr>
        <xdr:cNvPr id="24" name="Прямая со стрелкой 23"/>
        <xdr:cNvCxnSpPr/>
      </xdr:nvCxnSpPr>
      <xdr:spPr>
        <a:xfrm>
          <a:off x="619125" y="5638800"/>
          <a:ext cx="1400175" cy="0"/>
        </a:xfrm>
        <a:prstGeom prst="straightConnector1">
          <a:avLst/>
        </a:prstGeom>
        <a:ln>
          <a:solidFill>
            <a:sysClr val="windowText" lastClr="000000"/>
          </a:solidFill>
          <a:prstDash val="dash"/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21</xdr:row>
      <xdr:rowOff>76200</xdr:rowOff>
    </xdr:from>
    <xdr:to>
      <xdr:col>1</xdr:col>
      <xdr:colOff>1381125</xdr:colOff>
      <xdr:row>21</xdr:row>
      <xdr:rowOff>77788</xdr:rowOff>
    </xdr:to>
    <xdr:cxnSp macro="">
      <xdr:nvCxnSpPr>
        <xdr:cNvPr id="25" name="Прямая со стрелкой 24"/>
        <xdr:cNvCxnSpPr/>
      </xdr:nvCxnSpPr>
      <xdr:spPr>
        <a:xfrm>
          <a:off x="609600" y="5429250"/>
          <a:ext cx="1381125" cy="1588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714375</xdr:colOff>
      <xdr:row>5</xdr:row>
      <xdr:rowOff>0</xdr:rowOff>
    </xdr:from>
    <xdr:to>
      <xdr:col>5</xdr:col>
      <xdr:colOff>714375</xdr:colOff>
      <xdr:row>6</xdr:row>
      <xdr:rowOff>0</xdr:rowOff>
    </xdr:to>
    <xdr:cxnSp macro="">
      <xdr:nvCxnSpPr>
        <xdr:cNvPr id="27" name="Прямая со стрелкой 26"/>
        <xdr:cNvCxnSpPr/>
      </xdr:nvCxnSpPr>
      <xdr:spPr>
        <a:xfrm>
          <a:off x="6810375" y="1543050"/>
          <a:ext cx="0" cy="1905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workbookViewId="0">
      <selection activeCell="B43" sqref="B43:C43"/>
    </sheetView>
  </sheetViews>
  <sheetFormatPr defaultRowHeight="15" x14ac:dyDescent="0.25"/>
  <cols>
    <col min="1" max="1" width="9.140625" style="19"/>
    <col min="2" max="2" width="21.140625" style="19" customWidth="1"/>
    <col min="3" max="3" width="23" style="19" customWidth="1"/>
    <col min="4" max="4" width="21.140625" style="19" customWidth="1"/>
    <col min="5" max="5" width="17" style="19" customWidth="1"/>
    <col min="6" max="6" width="21" style="19" customWidth="1"/>
    <col min="7" max="7" width="9.140625" style="19"/>
    <col min="8" max="8" width="14.5703125" style="19" customWidth="1"/>
    <col min="9" max="9" width="9.140625" style="19"/>
    <col min="10" max="10" width="18.7109375" style="19" customWidth="1"/>
    <col min="11" max="16384" width="9.140625" style="19"/>
  </cols>
  <sheetData>
    <row r="1" spans="2:10" ht="30.75" customHeight="1" x14ac:dyDescent="0.25">
      <c r="E1" s="20" t="s">
        <v>13</v>
      </c>
    </row>
    <row r="2" spans="2:10" ht="30.75" customHeight="1" x14ac:dyDescent="0.25">
      <c r="E2" s="9"/>
    </row>
    <row r="4" spans="2:10" x14ac:dyDescent="0.25">
      <c r="F4" s="22"/>
    </row>
    <row r="5" spans="2:10" ht="30" customHeight="1" x14ac:dyDescent="0.25">
      <c r="B5" s="25" t="s">
        <v>305</v>
      </c>
      <c r="D5" s="20" t="s">
        <v>177</v>
      </c>
      <c r="F5" s="20" t="s">
        <v>16</v>
      </c>
      <c r="H5" s="20" t="s">
        <v>239</v>
      </c>
      <c r="J5" s="20" t="s">
        <v>178</v>
      </c>
    </row>
    <row r="7" spans="2:10" x14ac:dyDescent="0.25">
      <c r="B7" s="25" t="s">
        <v>179</v>
      </c>
      <c r="F7" s="20" t="s">
        <v>17</v>
      </c>
    </row>
    <row r="8" spans="2:10" x14ac:dyDescent="0.25">
      <c r="F8" s="9"/>
    </row>
    <row r="9" spans="2:10" ht="15" customHeight="1" x14ac:dyDescent="0.25">
      <c r="B9" s="25" t="s">
        <v>240</v>
      </c>
    </row>
    <row r="11" spans="2:10" ht="30" x14ac:dyDescent="0.25">
      <c r="B11" s="25" t="s">
        <v>180</v>
      </c>
    </row>
    <row r="13" spans="2:10" x14ac:dyDescent="0.25">
      <c r="B13" s="25" t="s">
        <v>237</v>
      </c>
    </row>
    <row r="15" spans="2:10" ht="30" x14ac:dyDescent="0.25">
      <c r="B15" s="25" t="s">
        <v>238</v>
      </c>
    </row>
    <row r="17" spans="1:10" ht="45" x14ac:dyDescent="0.25">
      <c r="B17" s="25" t="s">
        <v>181</v>
      </c>
    </row>
    <row r="19" spans="1:10" ht="30" x14ac:dyDescent="0.25">
      <c r="B19" s="25" t="s">
        <v>182</v>
      </c>
    </row>
    <row r="21" spans="1:10" x14ac:dyDescent="0.25">
      <c r="B21" s="19" t="s">
        <v>183</v>
      </c>
    </row>
    <row r="22" spans="1:10" x14ac:dyDescent="0.25">
      <c r="C22" s="19" t="s">
        <v>184</v>
      </c>
    </row>
    <row r="23" spans="1:10" x14ac:dyDescent="0.25">
      <c r="C23" s="19" t="s">
        <v>185</v>
      </c>
    </row>
    <row r="24" spans="1:10" ht="30" x14ac:dyDescent="0.25">
      <c r="C24" s="19" t="s">
        <v>186</v>
      </c>
    </row>
    <row r="26" spans="1:10" x14ac:dyDescent="0.25">
      <c r="A26" s="22"/>
      <c r="B26" s="140" t="s">
        <v>187</v>
      </c>
      <c r="C26" s="140"/>
      <c r="D26" s="140"/>
      <c r="E26" s="140"/>
      <c r="F26" s="140"/>
      <c r="G26" s="140"/>
      <c r="H26" s="140"/>
      <c r="I26" s="140"/>
      <c r="J26" s="140"/>
    </row>
    <row r="27" spans="1:10" x14ac:dyDescent="0.25">
      <c r="A27" s="22"/>
      <c r="B27" s="86"/>
      <c r="C27" s="86"/>
      <c r="D27" s="86"/>
      <c r="E27" s="86"/>
      <c r="F27" s="86"/>
      <c r="G27" s="86"/>
      <c r="H27" s="86"/>
      <c r="I27" s="86"/>
      <c r="J27" s="86"/>
    </row>
    <row r="28" spans="1:10" x14ac:dyDescent="0.25">
      <c r="A28" s="22" t="s">
        <v>188</v>
      </c>
      <c r="B28" s="140" t="s">
        <v>306</v>
      </c>
      <c r="C28" s="140"/>
      <c r="D28" s="140"/>
      <c r="E28" s="140"/>
      <c r="F28" s="140"/>
      <c r="G28" s="140"/>
      <c r="H28" s="140"/>
      <c r="I28" s="140"/>
      <c r="J28" s="140"/>
    </row>
    <row r="29" spans="1:10" x14ac:dyDescent="0.25">
      <c r="A29" s="22" t="s">
        <v>43</v>
      </c>
      <c r="B29" s="140" t="s">
        <v>189</v>
      </c>
      <c r="C29" s="140"/>
      <c r="D29" s="140"/>
      <c r="E29" s="140"/>
      <c r="F29" s="140"/>
      <c r="G29" s="86"/>
      <c r="H29" s="86"/>
      <c r="I29" s="86"/>
      <c r="J29" s="86"/>
    </row>
    <row r="30" spans="1:10" x14ac:dyDescent="0.25">
      <c r="A30" s="22" t="s">
        <v>43</v>
      </c>
      <c r="B30" s="140" t="s">
        <v>190</v>
      </c>
      <c r="C30" s="140"/>
      <c r="D30" s="140"/>
      <c r="E30" s="140"/>
      <c r="F30" s="140"/>
      <c r="G30" s="86"/>
      <c r="H30" s="86"/>
      <c r="I30" s="86"/>
      <c r="J30" s="86"/>
    </row>
    <row r="31" spans="1:10" x14ac:dyDescent="0.25">
      <c r="A31" s="22" t="s">
        <v>43</v>
      </c>
      <c r="B31" s="140" t="s">
        <v>191</v>
      </c>
      <c r="C31" s="140"/>
      <c r="D31" s="140"/>
      <c r="E31" s="140"/>
      <c r="F31" s="140"/>
      <c r="G31" s="86"/>
      <c r="H31" s="86"/>
      <c r="I31" s="86"/>
      <c r="J31" s="86"/>
    </row>
    <row r="32" spans="1:10" x14ac:dyDescent="0.25">
      <c r="A32" s="22" t="s">
        <v>43</v>
      </c>
      <c r="B32" s="140" t="s">
        <v>192</v>
      </c>
      <c r="C32" s="140"/>
      <c r="D32" s="140"/>
      <c r="E32" s="140"/>
      <c r="F32" s="140"/>
      <c r="G32" s="86"/>
      <c r="H32" s="86"/>
      <c r="I32" s="86"/>
      <c r="J32" s="86"/>
    </row>
    <row r="33" spans="1:10" x14ac:dyDescent="0.25">
      <c r="A33" s="22" t="s">
        <v>43</v>
      </c>
      <c r="B33" s="140" t="s">
        <v>193</v>
      </c>
      <c r="C33" s="140"/>
      <c r="D33" s="140"/>
      <c r="E33" s="140"/>
      <c r="F33" s="140"/>
      <c r="G33" s="86"/>
      <c r="H33" s="86"/>
      <c r="I33" s="86"/>
      <c r="J33" s="86"/>
    </row>
    <row r="34" spans="1:10" ht="15.75" customHeight="1" x14ac:dyDescent="0.25">
      <c r="A34" s="22" t="s">
        <v>43</v>
      </c>
      <c r="B34" s="140" t="s">
        <v>194</v>
      </c>
      <c r="C34" s="140"/>
      <c r="D34" s="140"/>
      <c r="E34" s="140"/>
      <c r="F34" s="140"/>
      <c r="G34" s="86"/>
      <c r="H34" s="86"/>
      <c r="I34" s="86"/>
      <c r="J34" s="86"/>
    </row>
    <row r="35" spans="1:10" s="86" customFormat="1" ht="17.25" customHeight="1" x14ac:dyDescent="0.25">
      <c r="A35" s="22" t="s">
        <v>195</v>
      </c>
      <c r="B35" s="140" t="s">
        <v>196</v>
      </c>
      <c r="C35" s="140"/>
      <c r="D35" s="140"/>
      <c r="E35" s="140"/>
      <c r="F35" s="140"/>
      <c r="G35" s="140"/>
      <c r="H35" s="140"/>
      <c r="I35" s="140"/>
      <c r="J35" s="140"/>
    </row>
    <row r="36" spans="1:10" x14ac:dyDescent="0.25">
      <c r="A36" s="22" t="s">
        <v>43</v>
      </c>
      <c r="B36" s="140" t="s">
        <v>197</v>
      </c>
      <c r="C36" s="140"/>
    </row>
    <row r="37" spans="1:10" x14ac:dyDescent="0.25">
      <c r="A37" s="22" t="s">
        <v>43</v>
      </c>
      <c r="B37" s="140" t="s">
        <v>198</v>
      </c>
      <c r="C37" s="140"/>
    </row>
    <row r="38" spans="1:10" s="86" customFormat="1" x14ac:dyDescent="0.25">
      <c r="A38" s="22" t="s">
        <v>43</v>
      </c>
      <c r="B38" s="140" t="s">
        <v>199</v>
      </c>
      <c r="C38" s="140"/>
    </row>
    <row r="39" spans="1:10" ht="31.5" customHeight="1" x14ac:dyDescent="0.25">
      <c r="A39" s="22" t="s">
        <v>43</v>
      </c>
      <c r="B39" s="140" t="s">
        <v>200</v>
      </c>
      <c r="C39" s="140"/>
    </row>
    <row r="40" spans="1:10" x14ac:dyDescent="0.25">
      <c r="A40" s="22" t="s">
        <v>43</v>
      </c>
      <c r="B40" s="140" t="s">
        <v>201</v>
      </c>
      <c r="C40" s="140"/>
    </row>
    <row r="41" spans="1:10" x14ac:dyDescent="0.25">
      <c r="A41" s="22" t="s">
        <v>202</v>
      </c>
      <c r="B41" s="140" t="s">
        <v>203</v>
      </c>
      <c r="C41" s="140"/>
      <c r="D41" s="140"/>
      <c r="E41" s="140"/>
      <c r="F41" s="140"/>
      <c r="G41" s="140"/>
    </row>
    <row r="42" spans="1:10" ht="30" customHeight="1" x14ac:dyDescent="0.25">
      <c r="A42" s="22" t="s">
        <v>43</v>
      </c>
      <c r="B42" s="140" t="s">
        <v>204</v>
      </c>
      <c r="C42" s="140"/>
    </row>
    <row r="43" spans="1:10" ht="30.75" customHeight="1" x14ac:dyDescent="0.25">
      <c r="A43" s="22" t="s">
        <v>43</v>
      </c>
      <c r="B43" s="140" t="s">
        <v>205</v>
      </c>
      <c r="C43" s="140"/>
    </row>
    <row r="44" spans="1:10" x14ac:dyDescent="0.25">
      <c r="A44" s="22" t="s">
        <v>43</v>
      </c>
      <c r="B44" s="140" t="s">
        <v>206</v>
      </c>
      <c r="C44" s="140"/>
    </row>
    <row r="45" spans="1:10" ht="29.25" customHeight="1" x14ac:dyDescent="0.25">
      <c r="A45" s="22" t="s">
        <v>43</v>
      </c>
      <c r="B45" s="140" t="s">
        <v>207</v>
      </c>
      <c r="C45" s="140"/>
    </row>
    <row r="46" spans="1:10" ht="30" customHeight="1" x14ac:dyDescent="0.25">
      <c r="A46" s="22" t="s">
        <v>43</v>
      </c>
      <c r="B46" s="140" t="s">
        <v>208</v>
      </c>
      <c r="C46" s="140"/>
    </row>
    <row r="47" spans="1:10" ht="30.75" customHeight="1" x14ac:dyDescent="0.25">
      <c r="A47" s="22" t="s">
        <v>43</v>
      </c>
      <c r="B47" s="140" t="s">
        <v>209</v>
      </c>
      <c r="C47" s="140"/>
    </row>
    <row r="48" spans="1:10" ht="15" customHeight="1" x14ac:dyDescent="0.25">
      <c r="A48" s="22" t="s">
        <v>43</v>
      </c>
      <c r="B48" s="140" t="s">
        <v>242</v>
      </c>
      <c r="C48" s="140"/>
      <c r="D48" s="140"/>
      <c r="E48" s="140"/>
      <c r="F48" s="140"/>
    </row>
    <row r="49" spans="1:10" x14ac:dyDescent="0.25">
      <c r="A49" s="22" t="s">
        <v>43</v>
      </c>
      <c r="B49" s="140" t="s">
        <v>201</v>
      </c>
      <c r="C49" s="140"/>
    </row>
    <row r="50" spans="1:10" x14ac:dyDescent="0.25">
      <c r="A50" s="22" t="s">
        <v>210</v>
      </c>
      <c r="B50" s="140" t="s">
        <v>211</v>
      </c>
      <c r="C50" s="140"/>
      <c r="D50" s="140"/>
      <c r="E50" s="140"/>
      <c r="F50" s="140"/>
      <c r="G50" s="140"/>
      <c r="H50" s="140"/>
      <c r="I50" s="140"/>
    </row>
    <row r="51" spans="1:10" x14ac:dyDescent="0.25">
      <c r="A51" s="22" t="s">
        <v>43</v>
      </c>
      <c r="B51" s="140" t="s">
        <v>212</v>
      </c>
      <c r="C51" s="140"/>
      <c r="D51" s="140"/>
      <c r="E51" s="140"/>
      <c r="F51" s="140"/>
    </row>
    <row r="52" spans="1:10" x14ac:dyDescent="0.25">
      <c r="A52" s="22" t="s">
        <v>43</v>
      </c>
      <c r="B52" s="140" t="s">
        <v>213</v>
      </c>
      <c r="C52" s="140"/>
      <c r="D52" s="140"/>
      <c r="E52" s="140"/>
      <c r="F52" s="140"/>
    </row>
    <row r="53" spans="1:10" s="86" customFormat="1" ht="15.75" customHeight="1" x14ac:dyDescent="0.25">
      <c r="A53" s="22" t="s">
        <v>43</v>
      </c>
      <c r="B53" s="140" t="s">
        <v>214</v>
      </c>
      <c r="C53" s="140"/>
      <c r="D53" s="140"/>
      <c r="E53" s="140"/>
      <c r="F53" s="140"/>
      <c r="G53" s="140"/>
      <c r="H53" s="140"/>
    </row>
    <row r="54" spans="1:10" x14ac:dyDescent="0.25">
      <c r="A54" s="22" t="s">
        <v>215</v>
      </c>
      <c r="B54" s="140" t="s">
        <v>216</v>
      </c>
      <c r="C54" s="140"/>
      <c r="D54" s="140"/>
      <c r="E54" s="140"/>
      <c r="F54" s="140"/>
      <c r="G54" s="140"/>
      <c r="H54" s="140"/>
      <c r="I54" s="140"/>
      <c r="J54" s="140"/>
    </row>
    <row r="55" spans="1:10" x14ac:dyDescent="0.25">
      <c r="A55" s="22" t="s">
        <v>43</v>
      </c>
      <c r="B55" s="140" t="s">
        <v>217</v>
      </c>
      <c r="C55" s="140"/>
      <c r="D55" s="140"/>
      <c r="E55" s="140"/>
      <c r="F55" s="140"/>
      <c r="G55" s="86"/>
      <c r="H55" s="86"/>
      <c r="I55" s="86"/>
      <c r="J55" s="86"/>
    </row>
    <row r="56" spans="1:10" x14ac:dyDescent="0.25">
      <c r="A56" s="22" t="s">
        <v>43</v>
      </c>
      <c r="B56" s="140" t="s">
        <v>218</v>
      </c>
      <c r="C56" s="140"/>
      <c r="D56" s="140"/>
      <c r="E56" s="140"/>
      <c r="F56" s="140"/>
      <c r="G56" s="86"/>
      <c r="H56" s="86"/>
      <c r="I56" s="86"/>
      <c r="J56" s="86"/>
    </row>
    <row r="57" spans="1:10" ht="18" customHeight="1" x14ac:dyDescent="0.25">
      <c r="A57" s="22" t="s">
        <v>43</v>
      </c>
      <c r="B57" s="140" t="s">
        <v>219</v>
      </c>
      <c r="C57" s="140"/>
      <c r="D57" s="140"/>
      <c r="E57" s="140"/>
      <c r="F57" s="140"/>
      <c r="G57" s="140"/>
      <c r="H57" s="140"/>
      <c r="I57" s="140"/>
      <c r="J57" s="140"/>
    </row>
    <row r="58" spans="1:10" x14ac:dyDescent="0.25">
      <c r="A58" s="22" t="s">
        <v>220</v>
      </c>
      <c r="B58" s="19" t="s">
        <v>221</v>
      </c>
    </row>
    <row r="59" spans="1:10" ht="15" customHeight="1" x14ac:dyDescent="0.25">
      <c r="A59" s="22" t="s">
        <v>43</v>
      </c>
      <c r="B59" s="140" t="s">
        <v>222</v>
      </c>
      <c r="C59" s="140"/>
      <c r="D59" s="140"/>
      <c r="E59" s="140"/>
      <c r="F59" s="140"/>
      <c r="G59" s="140"/>
      <c r="H59" s="140"/>
    </row>
    <row r="60" spans="1:10" x14ac:dyDescent="0.25">
      <c r="A60" s="22" t="s">
        <v>43</v>
      </c>
      <c r="B60" s="140" t="s">
        <v>223</v>
      </c>
      <c r="C60" s="140"/>
      <c r="D60" s="140"/>
      <c r="E60" s="140"/>
      <c r="F60" s="140"/>
      <c r="G60" s="140"/>
      <c r="H60" s="140"/>
      <c r="I60" s="140"/>
      <c r="J60" s="140"/>
    </row>
    <row r="61" spans="1:10" x14ac:dyDescent="0.25">
      <c r="A61" s="22" t="s">
        <v>224</v>
      </c>
      <c r="B61" s="86" t="s">
        <v>37</v>
      </c>
      <c r="C61" s="86"/>
      <c r="D61" s="86"/>
      <c r="E61" s="86"/>
      <c r="F61" s="86"/>
      <c r="G61" s="86"/>
      <c r="H61" s="86"/>
      <c r="I61" s="86"/>
      <c r="J61" s="86"/>
    </row>
    <row r="62" spans="1:10" x14ac:dyDescent="0.25">
      <c r="A62" s="22" t="s">
        <v>43</v>
      </c>
      <c r="B62" s="140" t="s">
        <v>225</v>
      </c>
      <c r="C62" s="140"/>
      <c r="D62" s="140"/>
      <c r="E62" s="140"/>
      <c r="F62" s="140"/>
      <c r="G62" s="140"/>
      <c r="H62" s="140"/>
      <c r="I62" s="86"/>
      <c r="J62" s="86"/>
    </row>
    <row r="63" spans="1:10" x14ac:dyDescent="0.25">
      <c r="A63" s="22" t="s">
        <v>226</v>
      </c>
      <c r="B63" s="19" t="s">
        <v>227</v>
      </c>
      <c r="C63" s="86"/>
      <c r="D63" s="86"/>
      <c r="E63" s="86"/>
      <c r="F63" s="86"/>
      <c r="G63" s="86"/>
      <c r="H63" s="86"/>
      <c r="I63" s="86"/>
      <c r="J63" s="86"/>
    </row>
    <row r="64" spans="1:10" x14ac:dyDescent="0.25">
      <c r="A64" s="22" t="s">
        <v>43</v>
      </c>
      <c r="B64" s="140" t="s">
        <v>228</v>
      </c>
      <c r="C64" s="140"/>
      <c r="D64" s="140"/>
      <c r="E64" s="140"/>
      <c r="F64" s="140"/>
      <c r="G64" s="140"/>
      <c r="H64" s="140"/>
      <c r="I64" s="140"/>
      <c r="J64" s="86"/>
    </row>
    <row r="65" spans="1:10" x14ac:dyDescent="0.25">
      <c r="A65" s="22" t="s">
        <v>43</v>
      </c>
      <c r="B65" s="140" t="s">
        <v>229</v>
      </c>
      <c r="C65" s="140"/>
      <c r="D65" s="140"/>
      <c r="E65" s="140"/>
      <c r="F65" s="140"/>
      <c r="G65" s="140"/>
      <c r="H65" s="140"/>
      <c r="I65" s="140"/>
      <c r="J65" s="86"/>
    </row>
    <row r="66" spans="1:10" x14ac:dyDescent="0.25">
      <c r="A66" s="22" t="s">
        <v>230</v>
      </c>
      <c r="B66" s="140" t="s">
        <v>231</v>
      </c>
      <c r="C66" s="140"/>
      <c r="D66" s="140"/>
      <c r="E66" s="140"/>
      <c r="F66" s="140"/>
      <c r="G66" s="140"/>
      <c r="H66" s="140"/>
      <c r="I66" s="140"/>
      <c r="J66" s="140"/>
    </row>
    <row r="67" spans="1:10" ht="18" customHeight="1" x14ac:dyDescent="0.25">
      <c r="A67" s="87" t="s">
        <v>43</v>
      </c>
      <c r="B67" s="140" t="s">
        <v>232</v>
      </c>
      <c r="C67" s="140"/>
      <c r="D67" s="140"/>
      <c r="E67" s="140"/>
      <c r="F67" s="140"/>
      <c r="G67" s="140"/>
      <c r="H67" s="140"/>
      <c r="I67" s="140"/>
      <c r="J67" s="140"/>
    </row>
    <row r="68" spans="1:10" x14ac:dyDescent="0.25">
      <c r="A68" s="22" t="s">
        <v>233</v>
      </c>
      <c r="B68" s="140" t="s">
        <v>234</v>
      </c>
      <c r="C68" s="140"/>
      <c r="D68" s="140"/>
      <c r="E68" s="140"/>
      <c r="F68" s="140"/>
      <c r="G68" s="140"/>
      <c r="H68" s="140"/>
      <c r="I68" s="140"/>
      <c r="J68" s="140"/>
    </row>
    <row r="69" spans="1:10" x14ac:dyDescent="0.25">
      <c r="A69" s="22" t="s">
        <v>235</v>
      </c>
      <c r="B69" s="140" t="s">
        <v>236</v>
      </c>
      <c r="C69" s="140"/>
      <c r="D69" s="140"/>
      <c r="E69" s="140"/>
      <c r="F69" s="140"/>
      <c r="G69" s="140"/>
      <c r="H69" s="140"/>
      <c r="I69" s="140"/>
      <c r="J69" s="140"/>
    </row>
  </sheetData>
  <mergeCells count="40">
    <mergeCell ref="B66:J66"/>
    <mergeCell ref="B67:J67"/>
    <mergeCell ref="B68:J68"/>
    <mergeCell ref="B69:J69"/>
    <mergeCell ref="B57:J57"/>
    <mergeCell ref="B60:J60"/>
    <mergeCell ref="B62:H62"/>
    <mergeCell ref="B64:I64"/>
    <mergeCell ref="B65:I65"/>
    <mergeCell ref="B59:H59"/>
    <mergeCell ref="B56:F56"/>
    <mergeCell ref="B45:C45"/>
    <mergeCell ref="B46:C46"/>
    <mergeCell ref="B47:C47"/>
    <mergeCell ref="B49:C49"/>
    <mergeCell ref="B50:I50"/>
    <mergeCell ref="B51:F51"/>
    <mergeCell ref="B52:F52"/>
    <mergeCell ref="B53:H53"/>
    <mergeCell ref="B54:J54"/>
    <mergeCell ref="B55:F55"/>
    <mergeCell ref="B48:F48"/>
    <mergeCell ref="B44:C44"/>
    <mergeCell ref="B33:F33"/>
    <mergeCell ref="B34:F34"/>
    <mergeCell ref="B35:J35"/>
    <mergeCell ref="B36:C36"/>
    <mergeCell ref="B37:C37"/>
    <mergeCell ref="B38:C38"/>
    <mergeCell ref="B39:C39"/>
    <mergeCell ref="B40:C40"/>
    <mergeCell ref="B41:G41"/>
    <mergeCell ref="B42:C42"/>
    <mergeCell ref="B43:C43"/>
    <mergeCell ref="B32:F32"/>
    <mergeCell ref="B26:J26"/>
    <mergeCell ref="B28:J28"/>
    <mergeCell ref="B29:F29"/>
    <mergeCell ref="B30:F30"/>
    <mergeCell ref="B31:F31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workbookViewId="0">
      <selection activeCell="G4" sqref="G4"/>
    </sheetView>
  </sheetViews>
  <sheetFormatPr defaultRowHeight="15" x14ac:dyDescent="0.25"/>
  <cols>
    <col min="1" max="1" width="7.140625" style="19" customWidth="1"/>
    <col min="2" max="2" width="16.140625" style="19" customWidth="1"/>
    <col min="3" max="3" width="20.42578125" style="19" customWidth="1"/>
    <col min="4" max="4" width="19.140625" style="19" customWidth="1"/>
    <col min="5" max="5" width="15.42578125" style="19" customWidth="1"/>
    <col min="6" max="6" width="10.28515625" style="19" customWidth="1"/>
    <col min="7" max="7" width="10.5703125" style="19" customWidth="1"/>
    <col min="8" max="8" width="9.140625" style="19"/>
    <col min="9" max="9" width="12.140625" style="19" customWidth="1"/>
    <col min="10" max="10" width="10" style="19" customWidth="1"/>
    <col min="11" max="16384" width="9.140625" style="19"/>
  </cols>
  <sheetData>
    <row r="1" spans="1:11" x14ac:dyDescent="0.25">
      <c r="A1" s="288" t="s">
        <v>153</v>
      </c>
      <c r="B1" s="288"/>
      <c r="C1" s="288"/>
      <c r="D1" s="288"/>
      <c r="E1" s="288"/>
      <c r="F1" s="288"/>
      <c r="G1" s="288"/>
      <c r="H1" s="288"/>
      <c r="I1" s="288"/>
      <c r="J1" s="288"/>
    </row>
    <row r="2" spans="1:11" x14ac:dyDescent="0.25">
      <c r="A2" s="22"/>
      <c r="B2" s="22"/>
      <c r="C2" s="22"/>
      <c r="D2" s="22"/>
      <c r="E2" s="22"/>
      <c r="F2" s="22"/>
      <c r="G2" s="22"/>
      <c r="H2" s="22"/>
      <c r="I2" s="22"/>
    </row>
    <row r="3" spans="1:11" ht="42.75" customHeight="1" x14ac:dyDescent="0.25">
      <c r="A3" s="20" t="s">
        <v>154</v>
      </c>
      <c r="B3" s="20" t="s">
        <v>155</v>
      </c>
      <c r="C3" s="20" t="s">
        <v>156</v>
      </c>
      <c r="D3" s="20" t="s">
        <v>157</v>
      </c>
      <c r="E3" s="20" t="s">
        <v>158</v>
      </c>
      <c r="F3" s="20" t="s">
        <v>159</v>
      </c>
      <c r="G3" s="20" t="s">
        <v>160</v>
      </c>
      <c r="H3" s="20" t="s">
        <v>161</v>
      </c>
      <c r="I3" s="20" t="s">
        <v>162</v>
      </c>
      <c r="J3" s="20" t="s">
        <v>163</v>
      </c>
      <c r="K3" s="22"/>
    </row>
    <row r="4" spans="1:11" x14ac:dyDescent="0.25">
      <c r="A4" s="20">
        <v>1</v>
      </c>
      <c r="B4" s="24" t="s">
        <v>164</v>
      </c>
      <c r="C4" s="83">
        <v>15000000</v>
      </c>
      <c r="D4" s="83">
        <v>10000000</v>
      </c>
      <c r="E4" s="83">
        <v>2400000</v>
      </c>
      <c r="F4" s="84">
        <v>0.1</v>
      </c>
      <c r="G4" s="85">
        <f>(C4+D4+E4)*F4/100</f>
        <v>27400</v>
      </c>
      <c r="H4" s="83"/>
      <c r="I4" s="83"/>
      <c r="J4" s="289">
        <f>G4+I5</f>
        <v>40000</v>
      </c>
    </row>
    <row r="5" spans="1:11" ht="30" x14ac:dyDescent="0.25">
      <c r="A5" s="20">
        <v>2</v>
      </c>
      <c r="B5" s="24" t="s">
        <v>165</v>
      </c>
      <c r="C5" s="83"/>
      <c r="D5" s="83"/>
      <c r="E5" s="83"/>
      <c r="F5" s="83"/>
      <c r="G5" s="83"/>
      <c r="H5" s="83">
        <v>1050</v>
      </c>
      <c r="I5" s="85">
        <f>H5*12</f>
        <v>12600</v>
      </c>
      <c r="J5" s="289"/>
    </row>
    <row r="6" spans="1:11" x14ac:dyDescent="0.25">
      <c r="A6" s="22"/>
      <c r="B6" s="22"/>
      <c r="C6" s="22"/>
      <c r="D6" s="22"/>
      <c r="E6" s="22"/>
      <c r="F6" s="22"/>
      <c r="G6" s="22"/>
      <c r="H6" s="22"/>
      <c r="I6" s="22"/>
    </row>
    <row r="7" spans="1:11" x14ac:dyDescent="0.25">
      <c r="A7" s="22"/>
      <c r="B7" s="22"/>
      <c r="C7" s="22"/>
      <c r="D7" s="22"/>
      <c r="E7" s="22"/>
      <c r="F7" s="22"/>
      <c r="G7" s="22"/>
      <c r="H7" s="22"/>
      <c r="I7" s="22"/>
    </row>
  </sheetData>
  <mergeCells count="2">
    <mergeCell ref="A1:J1"/>
    <mergeCell ref="J4:J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N49"/>
  <sheetViews>
    <sheetView topLeftCell="A28" workbookViewId="0">
      <selection activeCell="I44" sqref="I44:I49"/>
    </sheetView>
  </sheetViews>
  <sheetFormatPr defaultRowHeight="15" x14ac:dyDescent="0.25"/>
  <cols>
    <col min="1" max="1" width="9" style="52" customWidth="1"/>
    <col min="2" max="2" width="13.140625" style="52" customWidth="1"/>
    <col min="3" max="3" width="11.7109375" style="51" customWidth="1"/>
    <col min="4" max="4" width="9.140625" style="52"/>
    <col min="5" max="5" width="13.85546875" style="52" customWidth="1"/>
    <col min="6" max="6" width="12" style="51" customWidth="1"/>
    <col min="7" max="7" width="10.7109375" style="118" customWidth="1"/>
    <col min="8" max="11" width="9.140625" style="51"/>
    <col min="12" max="12" width="6.42578125" style="51" customWidth="1"/>
    <col min="13" max="16384" width="9.140625" style="52"/>
  </cols>
  <sheetData>
    <row r="1" spans="1:17" ht="15" customHeight="1" x14ac:dyDescent="0.25">
      <c r="A1" s="196" t="s">
        <v>304</v>
      </c>
      <c r="B1" s="196"/>
      <c r="C1" s="196"/>
      <c r="D1" s="196"/>
      <c r="E1" s="196"/>
      <c r="F1" s="196"/>
      <c r="G1" s="196"/>
      <c r="H1" s="196"/>
      <c r="I1" s="196"/>
    </row>
    <row r="2" spans="1:17" x14ac:dyDescent="0.25">
      <c r="A2" s="196"/>
      <c r="B2" s="196"/>
      <c r="C2" s="196"/>
      <c r="D2" s="196"/>
      <c r="E2" s="196"/>
      <c r="F2" s="196"/>
      <c r="G2" s="196"/>
      <c r="H2" s="196"/>
      <c r="I2" s="196"/>
    </row>
    <row r="3" spans="1:17" x14ac:dyDescent="0.25">
      <c r="A3" s="196"/>
      <c r="B3" s="196"/>
      <c r="C3" s="196"/>
      <c r="D3" s="196"/>
      <c r="E3" s="196"/>
      <c r="F3" s="196"/>
      <c r="G3" s="196"/>
      <c r="H3" s="196"/>
      <c r="I3" s="196"/>
    </row>
    <row r="4" spans="1:17" s="110" customFormat="1" x14ac:dyDescent="0.25">
      <c r="A4" s="107" t="s">
        <v>102</v>
      </c>
      <c r="B4" s="108">
        <v>6387</v>
      </c>
      <c r="C4" s="107" t="s">
        <v>263</v>
      </c>
      <c r="D4" s="108">
        <v>19299</v>
      </c>
      <c r="E4" s="107" t="s">
        <v>103</v>
      </c>
      <c r="F4" s="108">
        <f>24004+6414+6387+6498</f>
        <v>43303</v>
      </c>
      <c r="G4" s="111"/>
      <c r="H4" s="109"/>
      <c r="I4" s="109"/>
      <c r="J4" s="217"/>
      <c r="K4" s="217"/>
      <c r="L4" s="217"/>
    </row>
    <row r="5" spans="1:17" ht="15" customHeight="1" x14ac:dyDescent="0.25">
      <c r="A5" s="197" t="s">
        <v>39</v>
      </c>
      <c r="B5" s="198" t="s">
        <v>38</v>
      </c>
      <c r="C5" s="199"/>
      <c r="D5" s="199"/>
      <c r="E5" s="200"/>
      <c r="F5" s="197" t="s">
        <v>41</v>
      </c>
      <c r="G5" s="214" t="s">
        <v>79</v>
      </c>
      <c r="H5" s="197" t="s">
        <v>45</v>
      </c>
      <c r="I5" s="197"/>
      <c r="J5" s="221" t="s">
        <v>252</v>
      </c>
      <c r="K5" s="221"/>
      <c r="L5" s="221"/>
    </row>
    <row r="6" spans="1:17" ht="45" customHeight="1" x14ac:dyDescent="0.25">
      <c r="A6" s="197"/>
      <c r="B6" s="201"/>
      <c r="C6" s="202"/>
      <c r="D6" s="202"/>
      <c r="E6" s="203"/>
      <c r="F6" s="197"/>
      <c r="G6" s="214"/>
      <c r="H6" s="197"/>
      <c r="I6" s="197"/>
      <c r="J6" s="221"/>
      <c r="K6" s="221"/>
      <c r="L6" s="221"/>
    </row>
    <row r="7" spans="1:17" ht="33.75" customHeight="1" x14ac:dyDescent="0.25">
      <c r="A7" s="4">
        <v>1</v>
      </c>
      <c r="B7" s="222" t="s">
        <v>99</v>
      </c>
      <c r="C7" s="223"/>
      <c r="D7" s="223"/>
      <c r="E7" s="224"/>
      <c r="F7" s="5">
        <f>F8+F14</f>
        <v>55094.448288802159</v>
      </c>
      <c r="G7" s="112">
        <f>G8+G14</f>
        <v>8.6260291668705449</v>
      </c>
      <c r="H7" s="225">
        <f>H8+H14</f>
        <v>642279.30153415073</v>
      </c>
      <c r="I7" s="226"/>
      <c r="J7" s="230">
        <f>G7*1.07</f>
        <v>9.2298512085514837</v>
      </c>
      <c r="K7" s="231"/>
      <c r="L7" s="232"/>
    </row>
    <row r="8" spans="1:17" ht="15" customHeight="1" x14ac:dyDescent="0.25">
      <c r="A8" s="210" t="s">
        <v>40</v>
      </c>
      <c r="B8" s="204" t="s">
        <v>98</v>
      </c>
      <c r="C8" s="205"/>
      <c r="D8" s="205"/>
      <c r="E8" s="206"/>
      <c r="F8" s="212">
        <f t="shared" ref="F8" si="0">SUM(F10:F13)</f>
        <v>8183.7950193340475</v>
      </c>
      <c r="G8" s="215">
        <f t="shared" ref="G8" si="1">SUM(G10:G13)</f>
        <v>1.2813206543500935</v>
      </c>
      <c r="H8" s="212">
        <f>+H10+H13</f>
        <v>91351.462300533458</v>
      </c>
      <c r="I8" s="213"/>
      <c r="J8" s="147"/>
      <c r="K8" s="148"/>
      <c r="L8" s="149"/>
    </row>
    <row r="9" spans="1:17" ht="14.25" customHeight="1" x14ac:dyDescent="0.25">
      <c r="A9" s="211"/>
      <c r="B9" s="207"/>
      <c r="C9" s="208"/>
      <c r="D9" s="208"/>
      <c r="E9" s="209"/>
      <c r="F9" s="213"/>
      <c r="G9" s="215"/>
      <c r="H9" s="213"/>
      <c r="I9" s="213"/>
      <c r="J9" s="150"/>
      <c r="K9" s="151"/>
      <c r="L9" s="152"/>
    </row>
    <row r="10" spans="1:17" ht="29.25" customHeight="1" x14ac:dyDescent="0.25">
      <c r="A10" s="8" t="s">
        <v>87</v>
      </c>
      <c r="B10" s="142" t="s">
        <v>101</v>
      </c>
      <c r="C10" s="143"/>
      <c r="D10" s="143"/>
      <c r="E10" s="144"/>
      <c r="F10" s="17">
        <f>29013/F4*B4</f>
        <v>4279.2885250444542</v>
      </c>
      <c r="G10" s="113">
        <f>F10/B4</f>
        <v>0.66999976906911762</v>
      </c>
      <c r="H10" s="163">
        <f>F10*12</f>
        <v>51351.462300533451</v>
      </c>
      <c r="I10" s="163"/>
      <c r="J10" s="150"/>
      <c r="K10" s="151"/>
      <c r="L10" s="152"/>
    </row>
    <row r="11" spans="1:17" x14ac:dyDescent="0.25">
      <c r="A11" s="8" t="s">
        <v>88</v>
      </c>
      <c r="B11" s="142" t="s">
        <v>262</v>
      </c>
      <c r="C11" s="143"/>
      <c r="D11" s="143"/>
      <c r="E11" s="144"/>
      <c r="F11" s="26">
        <f>Благоустройство!I4/12/3</f>
        <v>223.95093873403695</v>
      </c>
      <c r="G11" s="113">
        <f>F11/B4</f>
        <v>3.5063557027405191E-2</v>
      </c>
      <c r="H11" s="194">
        <f>F11*12</f>
        <v>2687.4112648084433</v>
      </c>
      <c r="I11" s="227"/>
      <c r="J11" s="150"/>
      <c r="K11" s="151"/>
      <c r="L11" s="152"/>
    </row>
    <row r="12" spans="1:17" x14ac:dyDescent="0.25">
      <c r="A12" s="8" t="s">
        <v>89</v>
      </c>
      <c r="B12" s="142" t="s">
        <v>265</v>
      </c>
      <c r="C12" s="143"/>
      <c r="D12" s="143"/>
      <c r="E12" s="144"/>
      <c r="F12" s="26">
        <f>Благоустройство!F9/12/3</f>
        <v>347.22222222222223</v>
      </c>
      <c r="G12" s="113">
        <f>F12/B4</f>
        <v>5.4363898891846285E-2</v>
      </c>
      <c r="H12" s="194">
        <f>F12*12</f>
        <v>4166.666666666667</v>
      </c>
      <c r="I12" s="195"/>
      <c r="J12" s="150"/>
      <c r="K12" s="151"/>
      <c r="L12" s="152"/>
    </row>
    <row r="13" spans="1:17" ht="15" customHeight="1" x14ac:dyDescent="0.25">
      <c r="A13" s="8" t="s">
        <v>264</v>
      </c>
      <c r="B13" s="142" t="s">
        <v>44</v>
      </c>
      <c r="C13" s="143"/>
      <c r="D13" s="143"/>
      <c r="E13" s="144"/>
      <c r="F13" s="17">
        <f>'Уборка снега'!K10/12/3</f>
        <v>3333.3333333333335</v>
      </c>
      <c r="G13" s="113">
        <f>F13/B4</f>
        <v>0.52189342936172434</v>
      </c>
      <c r="H13" s="145">
        <f>F13*12</f>
        <v>40000</v>
      </c>
      <c r="I13" s="146"/>
      <c r="J13" s="150"/>
      <c r="K13" s="151"/>
      <c r="L13" s="152"/>
    </row>
    <row r="14" spans="1:17" ht="18.75" customHeight="1" x14ac:dyDescent="0.25">
      <c r="A14" s="11" t="s">
        <v>42</v>
      </c>
      <c r="B14" s="218" t="s">
        <v>147</v>
      </c>
      <c r="C14" s="219"/>
      <c r="D14" s="219"/>
      <c r="E14" s="220"/>
      <c r="F14" s="12">
        <f>SUM(F15:F24)</f>
        <v>46910.653269468115</v>
      </c>
      <c r="G14" s="114">
        <f>SUM(G15:G24)</f>
        <v>7.3447085125204508</v>
      </c>
      <c r="H14" s="228">
        <f>SUM(H15:I23)</f>
        <v>550927.8392336173</v>
      </c>
      <c r="I14" s="229"/>
      <c r="J14" s="150"/>
      <c r="K14" s="151"/>
      <c r="L14" s="152"/>
    </row>
    <row r="15" spans="1:17" x14ac:dyDescent="0.25">
      <c r="A15" s="8" t="s">
        <v>90</v>
      </c>
      <c r="B15" s="142" t="s">
        <v>48</v>
      </c>
      <c r="C15" s="143"/>
      <c r="D15" s="143"/>
      <c r="E15" s="144"/>
      <c r="F15" s="17">
        <f>64500/F4*B4+2400/3</f>
        <v>10313.463270443157</v>
      </c>
      <c r="G15" s="113">
        <f>F15/B4</f>
        <v>1.6147586144423292</v>
      </c>
      <c r="H15" s="163">
        <f t="shared" ref="H15:H23" si="2">F15*12</f>
        <v>123761.55924531788</v>
      </c>
      <c r="I15" s="163"/>
      <c r="J15" s="150"/>
      <c r="K15" s="151"/>
      <c r="L15" s="152"/>
      <c r="M15" s="125" t="s">
        <v>288</v>
      </c>
      <c r="N15" s="126"/>
      <c r="O15" s="126"/>
      <c r="P15" s="126"/>
      <c r="Q15" s="126"/>
    </row>
    <row r="16" spans="1:17" x14ac:dyDescent="0.25">
      <c r="A16" s="8" t="s">
        <v>91</v>
      </c>
      <c r="B16" s="142" t="s">
        <v>51</v>
      </c>
      <c r="C16" s="143"/>
      <c r="D16" s="143"/>
      <c r="E16" s="144"/>
      <c r="F16" s="17">
        <f>Электроснабжение!D12/12</f>
        <v>858.33333333333337</v>
      </c>
      <c r="G16" s="113">
        <f>F16/B4</f>
        <v>0.13438755806064404</v>
      </c>
      <c r="H16" s="163">
        <f t="shared" si="2"/>
        <v>10300</v>
      </c>
      <c r="I16" s="163"/>
      <c r="J16" s="150"/>
      <c r="K16" s="151"/>
      <c r="L16" s="152"/>
    </row>
    <row r="17" spans="1:18" x14ac:dyDescent="0.25">
      <c r="A17" s="8" t="s">
        <v>92</v>
      </c>
      <c r="B17" s="142" t="s">
        <v>50</v>
      </c>
      <c r="C17" s="143"/>
      <c r="D17" s="143"/>
      <c r="E17" s="144"/>
      <c r="F17" s="17">
        <f>Теплоснабжение!D10/12</f>
        <v>7616.666666666667</v>
      </c>
      <c r="G17" s="113">
        <f>F17/B4</f>
        <v>1.1925264860915401</v>
      </c>
      <c r="H17" s="163">
        <f t="shared" si="2"/>
        <v>91400</v>
      </c>
      <c r="I17" s="163"/>
      <c r="J17" s="150"/>
      <c r="K17" s="151"/>
      <c r="L17" s="152"/>
      <c r="M17" s="178"/>
      <c r="N17" s="179"/>
      <c r="O17" s="179"/>
      <c r="P17" s="179"/>
      <c r="Q17" s="179"/>
      <c r="R17" s="179"/>
    </row>
    <row r="18" spans="1:18" x14ac:dyDescent="0.25">
      <c r="A18" s="8" t="s">
        <v>93</v>
      </c>
      <c r="B18" s="142" t="s">
        <v>52</v>
      </c>
      <c r="C18" s="143"/>
      <c r="D18" s="143"/>
      <c r="E18" s="144"/>
      <c r="F18" s="17">
        <f>'Водоснабжение и канал.'!D20/12</f>
        <v>2756.25</v>
      </c>
      <c r="G18" s="113">
        <f>F18/B4</f>
        <v>0.43154062940347582</v>
      </c>
      <c r="H18" s="163">
        <f t="shared" si="2"/>
        <v>33075</v>
      </c>
      <c r="I18" s="163"/>
      <c r="J18" s="150"/>
      <c r="K18" s="151"/>
      <c r="L18" s="152"/>
    </row>
    <row r="19" spans="1:18" x14ac:dyDescent="0.25">
      <c r="A19" s="8" t="s">
        <v>94</v>
      </c>
      <c r="B19" s="142" t="s">
        <v>80</v>
      </c>
      <c r="C19" s="143"/>
      <c r="D19" s="143"/>
      <c r="E19" s="144"/>
      <c r="F19" s="136">
        <f>15000/3</f>
        <v>5000</v>
      </c>
      <c r="G19" s="113">
        <f>F19/B4</f>
        <v>0.78284014404258651</v>
      </c>
      <c r="H19" s="145">
        <f t="shared" si="2"/>
        <v>60000</v>
      </c>
      <c r="I19" s="146"/>
      <c r="J19" s="150"/>
      <c r="K19" s="151"/>
      <c r="L19" s="152"/>
      <c r="M19" s="180" t="s">
        <v>289</v>
      </c>
      <c r="N19" s="216"/>
      <c r="O19" s="216"/>
      <c r="P19" s="216"/>
      <c r="Q19" s="216"/>
      <c r="R19" s="216"/>
    </row>
    <row r="20" spans="1:18" x14ac:dyDescent="0.25">
      <c r="A20" s="8" t="s">
        <v>95</v>
      </c>
      <c r="B20" s="142" t="s">
        <v>56</v>
      </c>
      <c r="C20" s="143"/>
      <c r="D20" s="143"/>
      <c r="E20" s="144"/>
      <c r="F20" s="17">
        <f>25000/12/3</f>
        <v>694.44444444444446</v>
      </c>
      <c r="G20" s="113">
        <f>F20/B4</f>
        <v>0.10872779778369257</v>
      </c>
      <c r="H20" s="163">
        <f t="shared" si="2"/>
        <v>8333.3333333333339</v>
      </c>
      <c r="I20" s="163"/>
      <c r="J20" s="150"/>
      <c r="K20" s="151"/>
      <c r="L20" s="152"/>
    </row>
    <row r="21" spans="1:18" x14ac:dyDescent="0.25">
      <c r="A21" s="8" t="s">
        <v>96</v>
      </c>
      <c r="B21" s="142" t="s">
        <v>84</v>
      </c>
      <c r="C21" s="143"/>
      <c r="D21" s="143"/>
      <c r="E21" s="144"/>
      <c r="F21" s="17">
        <f>(7500+7500)+(3000+3000)/12</f>
        <v>15500</v>
      </c>
      <c r="G21" s="113">
        <f>F21/B4</f>
        <v>2.4268044465320182</v>
      </c>
      <c r="H21" s="145">
        <f t="shared" si="2"/>
        <v>186000</v>
      </c>
      <c r="I21" s="146"/>
      <c r="J21" s="150"/>
      <c r="K21" s="151"/>
      <c r="L21" s="152"/>
    </row>
    <row r="22" spans="1:18" x14ac:dyDescent="0.25">
      <c r="A22" s="8" t="s">
        <v>97</v>
      </c>
      <c r="B22" s="142" t="s">
        <v>146</v>
      </c>
      <c r="C22" s="143"/>
      <c r="D22" s="143"/>
      <c r="E22" s="144"/>
      <c r="F22" s="17">
        <f>12000/F4*B4/12</f>
        <v>147.49555458051404</v>
      </c>
      <c r="G22" s="113">
        <f>F22/B4</f>
        <v>2.3093088238690159E-2</v>
      </c>
      <c r="H22" s="145">
        <f t="shared" si="2"/>
        <v>1769.9466549661684</v>
      </c>
      <c r="I22" s="146"/>
      <c r="J22" s="150"/>
      <c r="K22" s="151"/>
      <c r="L22" s="152"/>
    </row>
    <row r="23" spans="1:18" ht="15" customHeight="1" x14ac:dyDescent="0.25">
      <c r="A23" s="8" t="s">
        <v>148</v>
      </c>
      <c r="B23" s="142" t="s">
        <v>85</v>
      </c>
      <c r="C23" s="143"/>
      <c r="D23" s="143"/>
      <c r="E23" s="144"/>
      <c r="F23" s="17">
        <f>36*84</f>
        <v>3024</v>
      </c>
      <c r="G23" s="113">
        <f>F23/B4</f>
        <v>0.47346171911695634</v>
      </c>
      <c r="H23" s="145">
        <f t="shared" si="2"/>
        <v>36288</v>
      </c>
      <c r="I23" s="146"/>
      <c r="J23" s="150"/>
      <c r="K23" s="151"/>
      <c r="L23" s="152"/>
    </row>
    <row r="24" spans="1:18" ht="15" customHeight="1" x14ac:dyDescent="0.25">
      <c r="A24" s="8" t="s">
        <v>280</v>
      </c>
      <c r="B24" s="142" t="s">
        <v>281</v>
      </c>
      <c r="C24" s="143"/>
      <c r="D24" s="143"/>
      <c r="E24" s="144"/>
      <c r="F24" s="122">
        <f>3000/3</f>
        <v>1000</v>
      </c>
      <c r="G24" s="113">
        <f>F24/B4</f>
        <v>0.15656802880851731</v>
      </c>
      <c r="H24" s="145">
        <f t="shared" ref="H24" si="3">F24*12</f>
        <v>12000</v>
      </c>
      <c r="I24" s="146"/>
      <c r="J24" s="153"/>
      <c r="K24" s="154"/>
      <c r="L24" s="155"/>
    </row>
    <row r="25" spans="1:18" ht="30.75" customHeight="1" x14ac:dyDescent="0.25">
      <c r="A25" s="13" t="s">
        <v>46</v>
      </c>
      <c r="B25" s="165" t="s">
        <v>60</v>
      </c>
      <c r="C25" s="166"/>
      <c r="D25" s="166"/>
      <c r="E25" s="167"/>
      <c r="F25" s="14">
        <f>SUM(F26:F33)</f>
        <v>67253.115522091422</v>
      </c>
      <c r="G25" s="115">
        <f>SUM(G26:G33)</f>
        <v>10.240945642923451</v>
      </c>
      <c r="H25" s="168">
        <f>SUM(H26:I32)</f>
        <v>781078.16865892662</v>
      </c>
      <c r="I25" s="169"/>
      <c r="J25" s="159">
        <f>G25</f>
        <v>10.240945642923451</v>
      </c>
      <c r="K25" s="159"/>
      <c r="L25" s="159"/>
    </row>
    <row r="26" spans="1:18" ht="13.5" customHeight="1" x14ac:dyDescent="0.25">
      <c r="A26" s="8" t="s">
        <v>47</v>
      </c>
      <c r="B26" s="142" t="s">
        <v>78</v>
      </c>
      <c r="C26" s="143"/>
      <c r="D26" s="143"/>
      <c r="E26" s="144"/>
      <c r="F26" s="17">
        <f>Банк!J4/F4/12*B4</f>
        <v>491.65184860171348</v>
      </c>
      <c r="G26" s="113">
        <f>F26/B4</f>
        <v>7.6976960795633861E-2</v>
      </c>
      <c r="H26" s="163">
        <f>F26*12</f>
        <v>5899.8221832205618</v>
      </c>
      <c r="I26" s="163"/>
      <c r="J26" s="172"/>
      <c r="K26" s="172"/>
      <c r="L26" s="173"/>
    </row>
    <row r="27" spans="1:18" ht="13.5" customHeight="1" x14ac:dyDescent="0.25">
      <c r="A27" s="8" t="s">
        <v>49</v>
      </c>
      <c r="B27" s="160" t="s">
        <v>83</v>
      </c>
      <c r="C27" s="161"/>
      <c r="D27" s="161"/>
      <c r="E27" s="162"/>
      <c r="F27" s="17">
        <f>12160/F4*B4</f>
        <v>1793.5459436990509</v>
      </c>
      <c r="G27" s="113">
        <f>F27/B4</f>
        <v>0.28081195298247236</v>
      </c>
      <c r="H27" s="163">
        <f>F27*12</f>
        <v>21522.551324388609</v>
      </c>
      <c r="I27" s="163"/>
      <c r="J27" s="174"/>
      <c r="K27" s="174"/>
      <c r="L27" s="175"/>
      <c r="M27" s="178"/>
      <c r="N27" s="179"/>
      <c r="O27" s="179"/>
      <c r="P27" s="179"/>
      <c r="Q27" s="179"/>
    </row>
    <row r="28" spans="1:18" ht="13.5" customHeight="1" x14ac:dyDescent="0.25">
      <c r="A28" s="8" t="s">
        <v>53</v>
      </c>
      <c r="B28" s="142" t="s">
        <v>86</v>
      </c>
      <c r="C28" s="143"/>
      <c r="D28" s="143"/>
      <c r="E28" s="144"/>
      <c r="F28" s="17">
        <f>1500/F4*B4</f>
        <v>221.24333187077104</v>
      </c>
      <c r="G28" s="113">
        <f>F28/B4</f>
        <v>3.4639632358035237E-2</v>
      </c>
      <c r="H28" s="163">
        <f>F28*12</f>
        <v>2654.9199824492525</v>
      </c>
      <c r="I28" s="163"/>
      <c r="J28" s="174"/>
      <c r="K28" s="174"/>
      <c r="L28" s="175"/>
    </row>
    <row r="29" spans="1:18" ht="15" customHeight="1" x14ac:dyDescent="0.25">
      <c r="A29" s="8" t="s">
        <v>54</v>
      </c>
      <c r="B29" s="142" t="s">
        <v>243</v>
      </c>
      <c r="C29" s="143"/>
      <c r="D29" s="143"/>
      <c r="E29" s="144"/>
      <c r="F29" s="88">
        <f>(27000+4000)/F4*B4</f>
        <v>4572.3621919959351</v>
      </c>
      <c r="G29" s="113">
        <f>F29/B4</f>
        <v>0.71588573539939493</v>
      </c>
      <c r="H29" s="163">
        <f t="shared" ref="H29:H32" si="4">F29*12</f>
        <v>54868.346303951221</v>
      </c>
      <c r="I29" s="163"/>
      <c r="J29" s="174"/>
      <c r="K29" s="174"/>
      <c r="L29" s="175"/>
    </row>
    <row r="30" spans="1:18" x14ac:dyDescent="0.25">
      <c r="A30" s="8" t="s">
        <v>55</v>
      </c>
      <c r="B30" s="142" t="s">
        <v>149</v>
      </c>
      <c r="C30" s="143"/>
      <c r="D30" s="143"/>
      <c r="E30" s="144"/>
      <c r="F30" s="17">
        <f>1500/F4*B4</f>
        <v>221.24333187077104</v>
      </c>
      <c r="G30" s="113">
        <f>F30/B4</f>
        <v>3.4639632358035237E-2</v>
      </c>
      <c r="H30" s="163">
        <f t="shared" si="4"/>
        <v>2654.9199824492525</v>
      </c>
      <c r="I30" s="163"/>
      <c r="J30" s="174"/>
      <c r="K30" s="174"/>
      <c r="L30" s="175"/>
    </row>
    <row r="31" spans="1:18" x14ac:dyDescent="0.25">
      <c r="A31" s="8" t="s">
        <v>81</v>
      </c>
      <c r="B31" s="160" t="s">
        <v>241</v>
      </c>
      <c r="C31" s="161"/>
      <c r="D31" s="161"/>
      <c r="E31" s="162"/>
      <c r="F31" s="122">
        <f>6000/F4*B4+10000/F4/12*B4+6000/F4*B4/12</f>
        <v>1081.6340669237695</v>
      </c>
      <c r="G31" s="113">
        <f>F31/B4</f>
        <v>0.16934931375039447</v>
      </c>
      <c r="H31" s="163">
        <f>F31*12</f>
        <v>12979.608803085233</v>
      </c>
      <c r="I31" s="163"/>
      <c r="J31" s="174"/>
      <c r="K31" s="174"/>
      <c r="L31" s="175"/>
    </row>
    <row r="32" spans="1:18" x14ac:dyDescent="0.25">
      <c r="A32" s="8" t="s">
        <v>82</v>
      </c>
      <c r="B32" s="142" t="s">
        <v>59</v>
      </c>
      <c r="C32" s="143"/>
      <c r="D32" s="143"/>
      <c r="E32" s="144"/>
      <c r="F32" s="17">
        <f>(ФОТ!J25+ФОТ!E34)/F4*B4</f>
        <v>56708.16667328187</v>
      </c>
      <c r="G32" s="113">
        <f>F32/B4</f>
        <v>8.8786858733805971</v>
      </c>
      <c r="H32" s="163">
        <f t="shared" si="4"/>
        <v>680498.00007938244</v>
      </c>
      <c r="I32" s="163"/>
      <c r="J32" s="174"/>
      <c r="K32" s="174"/>
      <c r="L32" s="175"/>
      <c r="M32" s="180"/>
      <c r="N32" s="181"/>
      <c r="O32" s="181"/>
      <c r="P32" s="181"/>
      <c r="Q32" s="181"/>
    </row>
    <row r="33" spans="1:40" x14ac:dyDescent="0.25">
      <c r="A33" s="8" t="s">
        <v>246</v>
      </c>
      <c r="B33" s="160" t="s">
        <v>247</v>
      </c>
      <c r="C33" s="161"/>
      <c r="D33" s="161"/>
      <c r="E33" s="162"/>
      <c r="F33" s="90">
        <f>176000/F4/12*B4</f>
        <v>2163.2681338475395</v>
      </c>
      <c r="G33" s="113">
        <f>F33/F4</f>
        <v>4.9956541898887825E-2</v>
      </c>
      <c r="H33" s="163">
        <f>F33*12</f>
        <v>25959.217606170474</v>
      </c>
      <c r="I33" s="163"/>
      <c r="J33" s="176"/>
      <c r="K33" s="176"/>
      <c r="L33" s="177"/>
      <c r="M33" s="178" t="s">
        <v>287</v>
      </c>
      <c r="N33" s="179"/>
      <c r="O33" s="179"/>
      <c r="P33" s="179"/>
    </row>
    <row r="34" spans="1:40" ht="15.75" x14ac:dyDescent="0.25">
      <c r="A34" s="13" t="s">
        <v>57</v>
      </c>
      <c r="B34" s="165" t="s">
        <v>279</v>
      </c>
      <c r="C34" s="166"/>
      <c r="D34" s="166"/>
      <c r="E34" s="167"/>
      <c r="F34" s="14">
        <f>B4*G34</f>
        <v>6387</v>
      </c>
      <c r="G34" s="115">
        <v>1</v>
      </c>
      <c r="H34" s="168">
        <f>F34*12</f>
        <v>76644</v>
      </c>
      <c r="I34" s="169"/>
      <c r="J34" s="159">
        <f>G34</f>
        <v>1</v>
      </c>
      <c r="K34" s="159"/>
      <c r="L34" s="159"/>
    </row>
    <row r="35" spans="1:40" ht="24.75" customHeight="1" x14ac:dyDescent="0.25">
      <c r="A35" s="183" t="s">
        <v>100</v>
      </c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5"/>
    </row>
    <row r="36" spans="1:40" s="54" customFormat="1" ht="30.75" customHeight="1" x14ac:dyDescent="0.25">
      <c r="A36" s="15" t="s">
        <v>57</v>
      </c>
      <c r="B36" s="188" t="s">
        <v>61</v>
      </c>
      <c r="C36" s="189"/>
      <c r="D36" s="189"/>
      <c r="E36" s="190"/>
      <c r="F36" s="16">
        <f>F37+F38</f>
        <v>5769.0833333333339</v>
      </c>
      <c r="G36" s="116">
        <f>G37+G38</f>
        <v>0.90325400553207047</v>
      </c>
      <c r="H36" s="186"/>
      <c r="I36" s="187"/>
      <c r="J36" s="191">
        <f>G36</f>
        <v>0.90325400553207047</v>
      </c>
      <c r="K36" s="192"/>
      <c r="L36" s="19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</row>
    <row r="37" spans="1:40" ht="15" customHeight="1" x14ac:dyDescent="0.25">
      <c r="A37" s="8" t="s">
        <v>58</v>
      </c>
      <c r="B37" s="142" t="s">
        <v>151</v>
      </c>
      <c r="C37" s="143"/>
      <c r="D37" s="143"/>
      <c r="E37" s="144"/>
      <c r="F37" s="17">
        <f>165*1.1*1*30.5+28*100/12</f>
        <v>5769.0833333333339</v>
      </c>
      <c r="G37" s="113">
        <f>F37/B4</f>
        <v>0.90325400553207047</v>
      </c>
      <c r="H37" s="163">
        <f>F37*12</f>
        <v>69229</v>
      </c>
      <c r="I37" s="163"/>
      <c r="J37" s="55"/>
      <c r="K37" s="55"/>
      <c r="L37" s="55"/>
      <c r="M37" s="170" t="s">
        <v>290</v>
      </c>
      <c r="N37" s="171"/>
      <c r="O37" s="171"/>
      <c r="P37" s="171"/>
      <c r="Q37" s="171"/>
      <c r="R37" s="171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</row>
    <row r="38" spans="1:40" x14ac:dyDescent="0.25">
      <c r="A38" s="8" t="s">
        <v>150</v>
      </c>
      <c r="B38" s="142" t="s">
        <v>152</v>
      </c>
      <c r="C38" s="143"/>
      <c r="D38" s="143"/>
      <c r="E38" s="144"/>
      <c r="F38" s="17"/>
      <c r="G38" s="113">
        <f>F38/D4</f>
        <v>0</v>
      </c>
      <c r="H38" s="163">
        <f>F38*12</f>
        <v>0</v>
      </c>
      <c r="I38" s="163"/>
      <c r="J38" s="55"/>
      <c r="K38" s="55"/>
      <c r="L38" s="55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</row>
    <row r="39" spans="1:40" x14ac:dyDescent="0.25">
      <c r="A39" s="91"/>
      <c r="B39" s="92"/>
      <c r="C39" s="92"/>
      <c r="D39" s="92"/>
      <c r="E39" s="92"/>
      <c r="F39" s="93"/>
      <c r="G39" s="117"/>
      <c r="H39" s="93"/>
      <c r="I39" s="93"/>
      <c r="J39" s="94"/>
      <c r="K39" s="94"/>
      <c r="L39" s="94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</row>
    <row r="40" spans="1:40" ht="15" customHeight="1" x14ac:dyDescent="0.25">
      <c r="A40" s="164" t="s">
        <v>245</v>
      </c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</row>
    <row r="41" spans="1:40" x14ac:dyDescent="0.25">
      <c r="A41" s="164"/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</row>
    <row r="42" spans="1:40" ht="16.5" customHeight="1" x14ac:dyDescent="0.25">
      <c r="A42" s="164"/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</row>
    <row r="43" spans="1:40" ht="16.5" customHeight="1" x14ac:dyDescent="0.25">
      <c r="A43" s="135"/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</row>
    <row r="44" spans="1:40" x14ac:dyDescent="0.25">
      <c r="A44" s="141">
        <v>2016</v>
      </c>
      <c r="B44" s="141"/>
      <c r="C44" s="141"/>
      <c r="D44" s="141"/>
      <c r="E44" s="141"/>
      <c r="F44" s="141"/>
      <c r="G44" s="141"/>
      <c r="H44" s="141"/>
      <c r="I44" s="51">
        <v>2015</v>
      </c>
      <c r="J44" s="56"/>
      <c r="K44" s="56"/>
      <c r="L44" s="56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</row>
    <row r="45" spans="1:40" s="58" customFormat="1" ht="31.5" customHeight="1" x14ac:dyDescent="0.25">
      <c r="A45" s="49">
        <v>1</v>
      </c>
      <c r="B45" s="156" t="s">
        <v>168</v>
      </c>
      <c r="C45" s="157"/>
      <c r="D45" s="157"/>
      <c r="E45" s="158"/>
      <c r="F45" s="45">
        <f>F7</f>
        <v>55094.448288802159</v>
      </c>
      <c r="G45" s="119">
        <f>G7</f>
        <v>8.6260291668705449</v>
      </c>
      <c r="H45" s="10">
        <f>J7</f>
        <v>9.2298512085514837</v>
      </c>
      <c r="I45" s="137">
        <v>4.1500000000000004</v>
      </c>
      <c r="J45" s="57"/>
      <c r="K45" s="57"/>
      <c r="L45" s="57"/>
    </row>
    <row r="46" spans="1:40" s="58" customFormat="1" ht="24.75" customHeight="1" x14ac:dyDescent="0.25">
      <c r="A46" s="50" t="s">
        <v>46</v>
      </c>
      <c r="B46" s="156" t="s">
        <v>169</v>
      </c>
      <c r="C46" s="157"/>
      <c r="D46" s="157"/>
      <c r="E46" s="158"/>
      <c r="F46" s="45">
        <f>F25</f>
        <v>67253.115522091422</v>
      </c>
      <c r="G46" s="119">
        <f>G25</f>
        <v>10.240945642923451</v>
      </c>
      <c r="H46" s="10">
        <f>J25</f>
        <v>10.240945642923451</v>
      </c>
      <c r="I46" s="137">
        <v>14.42</v>
      </c>
      <c r="J46" s="57"/>
      <c r="K46" s="57"/>
      <c r="L46" s="57"/>
    </row>
    <row r="47" spans="1:40" s="58" customFormat="1" ht="24.75" customHeight="1" x14ac:dyDescent="0.25">
      <c r="A47" s="104">
        <v>3</v>
      </c>
      <c r="B47" s="156" t="s">
        <v>279</v>
      </c>
      <c r="C47" s="157"/>
      <c r="D47" s="157"/>
      <c r="E47" s="158"/>
      <c r="F47" s="105">
        <f>F34</f>
        <v>6387</v>
      </c>
      <c r="G47" s="119">
        <f>G34</f>
        <v>1</v>
      </c>
      <c r="H47" s="10">
        <f>G47</f>
        <v>1</v>
      </c>
      <c r="I47" s="137">
        <v>1.5</v>
      </c>
      <c r="J47" s="57"/>
      <c r="K47" s="57"/>
      <c r="L47" s="57"/>
    </row>
    <row r="48" spans="1:40" s="58" customFormat="1" ht="23.25" customHeight="1" x14ac:dyDescent="0.25">
      <c r="A48" s="50">
        <v>4</v>
      </c>
      <c r="B48" s="156" t="s">
        <v>61</v>
      </c>
      <c r="C48" s="157"/>
      <c r="D48" s="157"/>
      <c r="E48" s="158"/>
      <c r="F48" s="45">
        <f>F36</f>
        <v>5769.0833333333339</v>
      </c>
      <c r="G48" s="119">
        <f>G36</f>
        <v>0.90325400553207047</v>
      </c>
      <c r="H48" s="10">
        <f>J36</f>
        <v>0.90325400553207047</v>
      </c>
      <c r="I48" s="137">
        <v>1.8</v>
      </c>
      <c r="J48" s="57"/>
      <c r="K48" s="57"/>
      <c r="L48" s="57"/>
    </row>
    <row r="49" spans="1:9" ht="15.75" x14ac:dyDescent="0.25">
      <c r="A49" s="182" t="s">
        <v>170</v>
      </c>
      <c r="B49" s="182"/>
      <c r="C49" s="182"/>
      <c r="D49" s="182"/>
      <c r="E49" s="182"/>
      <c r="F49" s="6">
        <f>SUM(F45:F48)</f>
        <v>134503.64714422691</v>
      </c>
      <c r="G49" s="120">
        <f>SUM(G45:G48)</f>
        <v>20.770228815326064</v>
      </c>
      <c r="H49" s="89">
        <f>SUM(H45:H48)</f>
        <v>21.374050857007006</v>
      </c>
      <c r="I49" s="138">
        <f>SUM(I45:I48)</f>
        <v>21.87</v>
      </c>
    </row>
  </sheetData>
  <mergeCells count="91">
    <mergeCell ref="M17:R17"/>
    <mergeCell ref="M19:R19"/>
    <mergeCell ref="J4:L4"/>
    <mergeCell ref="B15:E15"/>
    <mergeCell ref="B14:E14"/>
    <mergeCell ref="B13:E13"/>
    <mergeCell ref="J5:L6"/>
    <mergeCell ref="B7:E7"/>
    <mergeCell ref="H7:I7"/>
    <mergeCell ref="B10:E10"/>
    <mergeCell ref="H10:I10"/>
    <mergeCell ref="H11:I11"/>
    <mergeCell ref="H14:I14"/>
    <mergeCell ref="H13:I13"/>
    <mergeCell ref="B11:E11"/>
    <mergeCell ref="J7:L7"/>
    <mergeCell ref="A1:I3"/>
    <mergeCell ref="H5:I6"/>
    <mergeCell ref="A5:A6"/>
    <mergeCell ref="B5:E6"/>
    <mergeCell ref="B8:E9"/>
    <mergeCell ref="A8:A9"/>
    <mergeCell ref="H8:I9"/>
    <mergeCell ref="F5:F6"/>
    <mergeCell ref="F8:F9"/>
    <mergeCell ref="G5:G6"/>
    <mergeCell ref="G8:G9"/>
    <mergeCell ref="H19:I19"/>
    <mergeCell ref="B22:E22"/>
    <mergeCell ref="H22:I22"/>
    <mergeCell ref="B20:E20"/>
    <mergeCell ref="H20:I20"/>
    <mergeCell ref="B21:E21"/>
    <mergeCell ref="H21:I21"/>
    <mergeCell ref="B19:E19"/>
    <mergeCell ref="B17:E17"/>
    <mergeCell ref="B18:E18"/>
    <mergeCell ref="B12:E12"/>
    <mergeCell ref="H12:I12"/>
    <mergeCell ref="H16:I16"/>
    <mergeCell ref="H17:I17"/>
    <mergeCell ref="H18:I18"/>
    <mergeCell ref="B16:E16"/>
    <mergeCell ref="H15:I15"/>
    <mergeCell ref="A49:E49"/>
    <mergeCell ref="A35:L35"/>
    <mergeCell ref="B38:E38"/>
    <mergeCell ref="H38:I38"/>
    <mergeCell ref="B23:E23"/>
    <mergeCell ref="H23:I23"/>
    <mergeCell ref="B37:E37"/>
    <mergeCell ref="H36:I36"/>
    <mergeCell ref="H37:I37"/>
    <mergeCell ref="B31:E31"/>
    <mergeCell ref="H31:I31"/>
    <mergeCell ref="B36:E36"/>
    <mergeCell ref="J36:L36"/>
    <mergeCell ref="B46:E46"/>
    <mergeCell ref="B48:E48"/>
    <mergeCell ref="H26:I26"/>
    <mergeCell ref="B25:E25"/>
    <mergeCell ref="H25:I25"/>
    <mergeCell ref="B34:E34"/>
    <mergeCell ref="H34:I34"/>
    <mergeCell ref="M37:R37"/>
    <mergeCell ref="J34:L34"/>
    <mergeCell ref="J26:L33"/>
    <mergeCell ref="H33:I33"/>
    <mergeCell ref="B28:E28"/>
    <mergeCell ref="H28:I28"/>
    <mergeCell ref="B26:E26"/>
    <mergeCell ref="B33:E33"/>
    <mergeCell ref="M33:P33"/>
    <mergeCell ref="M32:Q32"/>
    <mergeCell ref="M27:Q27"/>
    <mergeCell ref="A44:H44"/>
    <mergeCell ref="B24:E24"/>
    <mergeCell ref="H24:I24"/>
    <mergeCell ref="J8:L24"/>
    <mergeCell ref="B47:E47"/>
    <mergeCell ref="J25:L25"/>
    <mergeCell ref="B45:E45"/>
    <mergeCell ref="B27:E27"/>
    <mergeCell ref="H27:I27"/>
    <mergeCell ref="B29:E29"/>
    <mergeCell ref="H29:I29"/>
    <mergeCell ref="B30:E30"/>
    <mergeCell ref="H30:I30"/>
    <mergeCell ref="B32:E32"/>
    <mergeCell ref="H32:I32"/>
    <mergeCell ref="A40:L42"/>
  </mergeCells>
  <printOptions horizontalCentered="1"/>
  <pageMargins left="0.31496062992125984" right="0.31496062992125984" top="0.15748031496062992" bottom="0.15748031496062992" header="0" footer="0"/>
  <pageSetup paperSize="9" scale="78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O48"/>
  <sheetViews>
    <sheetView tabSelected="1" zoomScaleNormal="100" workbookViewId="0">
      <selection activeCell="J45" sqref="J45"/>
    </sheetView>
  </sheetViews>
  <sheetFormatPr defaultRowHeight="15" x14ac:dyDescent="0.25"/>
  <cols>
    <col min="1" max="1" width="9" style="52" customWidth="1"/>
    <col min="2" max="2" width="13.140625" style="52" customWidth="1"/>
    <col min="3" max="3" width="11.7109375" style="127" customWidth="1"/>
    <col min="4" max="4" width="9.140625" style="52"/>
    <col min="5" max="5" width="13.85546875" style="52" customWidth="1"/>
    <col min="6" max="6" width="12" style="127" customWidth="1"/>
    <col min="7" max="7" width="10.7109375" style="118" customWidth="1"/>
    <col min="8" max="9" width="9.140625" style="127"/>
    <col min="10" max="10" width="15.28515625" style="127" customWidth="1"/>
    <col min="11" max="12" width="9.140625" style="127"/>
    <col min="13" max="13" width="6.42578125" style="127" customWidth="1"/>
    <col min="14" max="18" width="9.140625" style="52"/>
    <col min="19" max="19" width="12.28515625" style="52" customWidth="1"/>
    <col min="20" max="16384" width="9.140625" style="52"/>
  </cols>
  <sheetData>
    <row r="1" spans="1:19" ht="15" customHeight="1" x14ac:dyDescent="0.25">
      <c r="A1" s="196" t="s">
        <v>304</v>
      </c>
      <c r="B1" s="196"/>
      <c r="C1" s="196"/>
      <c r="D1" s="196"/>
      <c r="E1" s="196"/>
      <c r="F1" s="196"/>
      <c r="G1" s="196"/>
      <c r="H1" s="196"/>
      <c r="I1" s="196"/>
      <c r="J1" s="129"/>
    </row>
    <row r="2" spans="1:19" x14ac:dyDescent="0.25">
      <c r="A2" s="196"/>
      <c r="B2" s="196"/>
      <c r="C2" s="196"/>
      <c r="D2" s="196"/>
      <c r="E2" s="196"/>
      <c r="F2" s="196"/>
      <c r="G2" s="196"/>
      <c r="H2" s="196"/>
      <c r="I2" s="196"/>
      <c r="J2" s="129"/>
    </row>
    <row r="3" spans="1:19" x14ac:dyDescent="0.25">
      <c r="A3" s="196"/>
      <c r="B3" s="196"/>
      <c r="C3" s="196"/>
      <c r="D3" s="196"/>
      <c r="E3" s="196"/>
      <c r="F3" s="196"/>
      <c r="G3" s="196"/>
      <c r="H3" s="196"/>
      <c r="I3" s="196"/>
      <c r="J3" s="129"/>
    </row>
    <row r="4" spans="1:19" s="110" customFormat="1" x14ac:dyDescent="0.25">
      <c r="A4" s="107" t="s">
        <v>102</v>
      </c>
      <c r="B4" s="108">
        <v>6387</v>
      </c>
      <c r="C4" s="107" t="s">
        <v>263</v>
      </c>
      <c r="D4" s="108">
        <v>19299</v>
      </c>
      <c r="E4" s="107" t="s">
        <v>103</v>
      </c>
      <c r="F4" s="108">
        <f>24004+6414+6387+6498</f>
        <v>43303</v>
      </c>
      <c r="G4" s="111"/>
      <c r="H4" s="109"/>
      <c r="I4" s="109"/>
      <c r="J4" s="109"/>
      <c r="K4" s="217"/>
      <c r="L4" s="217"/>
      <c r="M4" s="217"/>
    </row>
    <row r="5" spans="1:19" ht="15" customHeight="1" x14ac:dyDescent="0.25">
      <c r="A5" s="197" t="s">
        <v>39</v>
      </c>
      <c r="B5" s="198" t="s">
        <v>38</v>
      </c>
      <c r="C5" s="199"/>
      <c r="D5" s="199"/>
      <c r="E5" s="200"/>
      <c r="F5" s="197" t="s">
        <v>41</v>
      </c>
      <c r="G5" s="214" t="s">
        <v>79</v>
      </c>
      <c r="H5" s="197" t="s">
        <v>45</v>
      </c>
      <c r="I5" s="197"/>
      <c r="J5" s="234" t="s">
        <v>291</v>
      </c>
      <c r="K5" s="221" t="s">
        <v>252</v>
      </c>
      <c r="L5" s="221"/>
      <c r="M5" s="221"/>
    </row>
    <row r="6" spans="1:19" ht="45" customHeight="1" x14ac:dyDescent="0.25">
      <c r="A6" s="197"/>
      <c r="B6" s="201"/>
      <c r="C6" s="202"/>
      <c r="D6" s="202"/>
      <c r="E6" s="203"/>
      <c r="F6" s="197"/>
      <c r="G6" s="214"/>
      <c r="H6" s="197"/>
      <c r="I6" s="197"/>
      <c r="J6" s="235"/>
      <c r="K6" s="221"/>
      <c r="L6" s="221"/>
      <c r="M6" s="221"/>
    </row>
    <row r="7" spans="1:19" ht="33.75" customHeight="1" x14ac:dyDescent="0.25">
      <c r="A7" s="4">
        <v>1</v>
      </c>
      <c r="B7" s="222" t="s">
        <v>99</v>
      </c>
      <c r="C7" s="223"/>
      <c r="D7" s="223"/>
      <c r="E7" s="224"/>
      <c r="F7" s="5">
        <f>F8+F14</f>
        <v>55094.448288802159</v>
      </c>
      <c r="G7" s="112">
        <f>G8+G14</f>
        <v>8.6260291668705449</v>
      </c>
      <c r="H7" s="225">
        <f>H8+H14</f>
        <v>642279.30153415073</v>
      </c>
      <c r="I7" s="226"/>
      <c r="J7" s="133"/>
      <c r="K7" s="230">
        <f>G7*1.07</f>
        <v>9.2298512085514837</v>
      </c>
      <c r="L7" s="231"/>
      <c r="M7" s="232"/>
    </row>
    <row r="8" spans="1:19" ht="15" customHeight="1" x14ac:dyDescent="0.25">
      <c r="A8" s="210" t="s">
        <v>40</v>
      </c>
      <c r="B8" s="204" t="s">
        <v>98</v>
      </c>
      <c r="C8" s="205"/>
      <c r="D8" s="205"/>
      <c r="E8" s="206"/>
      <c r="F8" s="212">
        <f t="shared" ref="F8" si="0">SUM(F10:F13)</f>
        <v>8183.7950193340475</v>
      </c>
      <c r="G8" s="215">
        <f t="shared" ref="G8" si="1">SUM(G10:G13)</f>
        <v>1.2813206543500935</v>
      </c>
      <c r="H8" s="212">
        <f>+H10+H13</f>
        <v>91351.462300533458</v>
      </c>
      <c r="I8" s="213"/>
      <c r="J8" s="212">
        <f t="shared" ref="J8" si="2">SUM(J10:J13)</f>
        <v>41714</v>
      </c>
      <c r="K8" s="148"/>
      <c r="L8" s="148"/>
      <c r="M8" s="149"/>
    </row>
    <row r="9" spans="1:19" ht="14.25" customHeight="1" x14ac:dyDescent="0.25">
      <c r="A9" s="211"/>
      <c r="B9" s="207"/>
      <c r="C9" s="208"/>
      <c r="D9" s="208"/>
      <c r="E9" s="209"/>
      <c r="F9" s="213"/>
      <c r="G9" s="215"/>
      <c r="H9" s="213"/>
      <c r="I9" s="213"/>
      <c r="J9" s="213"/>
      <c r="K9" s="151"/>
      <c r="L9" s="151"/>
      <c r="M9" s="152"/>
    </row>
    <row r="10" spans="1:19" ht="29.25" customHeight="1" x14ac:dyDescent="0.25">
      <c r="A10" s="8" t="s">
        <v>87</v>
      </c>
      <c r="B10" s="142" t="s">
        <v>101</v>
      </c>
      <c r="C10" s="143"/>
      <c r="D10" s="143"/>
      <c r="E10" s="144"/>
      <c r="F10" s="128">
        <f>29013/F4*B4</f>
        <v>4279.2885250444542</v>
      </c>
      <c r="G10" s="113">
        <f>F10/B4</f>
        <v>0.66999976906911762</v>
      </c>
      <c r="H10" s="163">
        <f>F10*12</f>
        <v>51351.462300533451</v>
      </c>
      <c r="I10" s="163"/>
      <c r="J10" s="26">
        <f>5228/3</f>
        <v>1742.6666666666667</v>
      </c>
      <c r="K10" s="151"/>
      <c r="L10" s="151"/>
      <c r="M10" s="152"/>
      <c r="N10" s="178" t="s">
        <v>292</v>
      </c>
      <c r="O10" s="179"/>
      <c r="P10" s="179"/>
      <c r="Q10" s="179"/>
      <c r="R10" s="179"/>
      <c r="S10" s="179"/>
    </row>
    <row r="11" spans="1:19" x14ac:dyDescent="0.25">
      <c r="A11" s="8" t="s">
        <v>88</v>
      </c>
      <c r="B11" s="142" t="s">
        <v>262</v>
      </c>
      <c r="C11" s="143"/>
      <c r="D11" s="143"/>
      <c r="E11" s="144"/>
      <c r="F11" s="26">
        <f>Благоустройство!I4/12/3</f>
        <v>223.95093873403695</v>
      </c>
      <c r="G11" s="113">
        <f>F11/B4</f>
        <v>3.5063557027405191E-2</v>
      </c>
      <c r="H11" s="194">
        <f>F11*12</f>
        <v>2687.4112648084433</v>
      </c>
      <c r="I11" s="227"/>
      <c r="J11" s="26">
        <f>3814/3</f>
        <v>1271.3333333333333</v>
      </c>
      <c r="K11" s="151"/>
      <c r="L11" s="151"/>
      <c r="M11" s="152"/>
    </row>
    <row r="12" spans="1:19" x14ac:dyDescent="0.25">
      <c r="A12" s="8" t="s">
        <v>89</v>
      </c>
      <c r="B12" s="142" t="s">
        <v>265</v>
      </c>
      <c r="C12" s="143"/>
      <c r="D12" s="143"/>
      <c r="E12" s="144"/>
      <c r="F12" s="26">
        <f>Благоустройство!F9/12/3</f>
        <v>347.22222222222223</v>
      </c>
      <c r="G12" s="113">
        <f>F12/B4</f>
        <v>5.4363898891846285E-2</v>
      </c>
      <c r="H12" s="194">
        <f>F12*12</f>
        <v>4166.666666666667</v>
      </c>
      <c r="I12" s="195"/>
      <c r="J12" s="26">
        <v>0</v>
      </c>
      <c r="K12" s="151"/>
      <c r="L12" s="151"/>
      <c r="M12" s="152"/>
    </row>
    <row r="13" spans="1:19" ht="15" customHeight="1" x14ac:dyDescent="0.25">
      <c r="A13" s="8" t="s">
        <v>264</v>
      </c>
      <c r="B13" s="142" t="s">
        <v>44</v>
      </c>
      <c r="C13" s="143"/>
      <c r="D13" s="143"/>
      <c r="E13" s="144"/>
      <c r="F13" s="128">
        <f>'Уборка снега'!K10/12/3</f>
        <v>3333.3333333333335</v>
      </c>
      <c r="G13" s="113">
        <f>F13/B4</f>
        <v>0.52189342936172434</v>
      </c>
      <c r="H13" s="145">
        <f>F13*12</f>
        <v>40000</v>
      </c>
      <c r="I13" s="146"/>
      <c r="J13" s="26">
        <f>116100/3</f>
        <v>38700</v>
      </c>
      <c r="K13" s="151"/>
      <c r="L13" s="151"/>
      <c r="M13" s="152"/>
    </row>
    <row r="14" spans="1:19" ht="18.75" customHeight="1" x14ac:dyDescent="0.25">
      <c r="A14" s="11" t="s">
        <v>42</v>
      </c>
      <c r="B14" s="218" t="s">
        <v>147</v>
      </c>
      <c r="C14" s="219"/>
      <c r="D14" s="219"/>
      <c r="E14" s="220"/>
      <c r="F14" s="12">
        <f>SUM(F15:F24)</f>
        <v>46910.653269468115</v>
      </c>
      <c r="G14" s="114">
        <f>SUM(G15:G24)</f>
        <v>7.3447085125204508</v>
      </c>
      <c r="H14" s="228">
        <f>SUM(H15:I23)</f>
        <v>550927.8392336173</v>
      </c>
      <c r="I14" s="229"/>
      <c r="J14" s="12"/>
      <c r="K14" s="151"/>
      <c r="L14" s="151"/>
      <c r="M14" s="152"/>
    </row>
    <row r="15" spans="1:19" x14ac:dyDescent="0.25">
      <c r="A15" s="8" t="s">
        <v>90</v>
      </c>
      <c r="B15" s="142" t="s">
        <v>48</v>
      </c>
      <c r="C15" s="143"/>
      <c r="D15" s="143"/>
      <c r="E15" s="144"/>
      <c r="F15" s="128">
        <f>64500/F4*B4+2400/3</f>
        <v>10313.463270443157</v>
      </c>
      <c r="G15" s="113">
        <f>F15/B4</f>
        <v>1.6147586144423292</v>
      </c>
      <c r="H15" s="163">
        <f t="shared" ref="H15:H24" si="3">F15*12</f>
        <v>123761.55924531788</v>
      </c>
      <c r="I15" s="163"/>
      <c r="J15" s="128">
        <f>11404.86/3</f>
        <v>3801.6200000000003</v>
      </c>
      <c r="K15" s="151"/>
      <c r="L15" s="151"/>
      <c r="M15" s="152"/>
      <c r="N15" s="178" t="s">
        <v>293</v>
      </c>
      <c r="O15" s="179"/>
      <c r="P15" s="179"/>
      <c r="Q15" s="179"/>
      <c r="R15" s="179"/>
      <c r="S15" s="179"/>
    </row>
    <row r="16" spans="1:19" x14ac:dyDescent="0.25">
      <c r="A16" s="8" t="s">
        <v>91</v>
      </c>
      <c r="B16" s="142" t="s">
        <v>51</v>
      </c>
      <c r="C16" s="143"/>
      <c r="D16" s="143"/>
      <c r="E16" s="144"/>
      <c r="F16" s="128">
        <f>Электроснабжение!D12/12</f>
        <v>858.33333333333337</v>
      </c>
      <c r="G16" s="113">
        <f>F16/B4</f>
        <v>0.13438755806064404</v>
      </c>
      <c r="H16" s="163">
        <f t="shared" si="3"/>
        <v>10300</v>
      </c>
      <c r="I16" s="163"/>
      <c r="J16" s="128">
        <f>22836.8/3</f>
        <v>7612.2666666666664</v>
      </c>
      <c r="K16" s="151"/>
      <c r="L16" s="151"/>
      <c r="M16" s="152"/>
      <c r="N16" s="178" t="s">
        <v>301</v>
      </c>
      <c r="O16" s="179"/>
      <c r="P16" s="179"/>
      <c r="Q16" s="179"/>
      <c r="R16" s="179"/>
      <c r="S16" s="179"/>
    </row>
    <row r="17" spans="1:19" x14ac:dyDescent="0.25">
      <c r="A17" s="8" t="s">
        <v>92</v>
      </c>
      <c r="B17" s="142" t="s">
        <v>50</v>
      </c>
      <c r="C17" s="143"/>
      <c r="D17" s="143"/>
      <c r="E17" s="144"/>
      <c r="F17" s="128">
        <f>Теплоснабжение!D10/12</f>
        <v>7616.666666666667</v>
      </c>
      <c r="G17" s="113">
        <f>F17/B4</f>
        <v>1.1925264860915401</v>
      </c>
      <c r="H17" s="163">
        <f t="shared" si="3"/>
        <v>91400</v>
      </c>
      <c r="I17" s="163"/>
      <c r="J17" s="128">
        <f>120537.15/3</f>
        <v>40179.049999999996</v>
      </c>
      <c r="K17" s="151"/>
      <c r="L17" s="151"/>
      <c r="M17" s="152"/>
      <c r="N17" s="178" t="s">
        <v>294</v>
      </c>
      <c r="O17" s="179"/>
      <c r="P17" s="179"/>
      <c r="Q17" s="179"/>
      <c r="R17" s="179"/>
      <c r="S17" s="179"/>
    </row>
    <row r="18" spans="1:19" x14ac:dyDescent="0.25">
      <c r="A18" s="8" t="s">
        <v>93</v>
      </c>
      <c r="B18" s="142" t="s">
        <v>52</v>
      </c>
      <c r="C18" s="143"/>
      <c r="D18" s="143"/>
      <c r="E18" s="144"/>
      <c r="F18" s="128">
        <f>'Водоснабжение и канал.'!D20/12</f>
        <v>2756.25</v>
      </c>
      <c r="G18" s="113">
        <f>F18/B4</f>
        <v>0.43154062940347582</v>
      </c>
      <c r="H18" s="163">
        <f t="shared" si="3"/>
        <v>33075</v>
      </c>
      <c r="I18" s="163"/>
      <c r="J18" s="128">
        <f>77090.62/3</f>
        <v>25696.873333333333</v>
      </c>
      <c r="K18" s="151"/>
      <c r="L18" s="151"/>
      <c r="M18" s="152"/>
      <c r="N18" s="178" t="s">
        <v>303</v>
      </c>
      <c r="O18" s="179"/>
      <c r="P18" s="179"/>
      <c r="Q18" s="179"/>
      <c r="R18" s="179"/>
      <c r="S18" s="179"/>
    </row>
    <row r="19" spans="1:19" x14ac:dyDescent="0.25">
      <c r="A19" s="8" t="s">
        <v>94</v>
      </c>
      <c r="B19" s="142" t="s">
        <v>80</v>
      </c>
      <c r="C19" s="143"/>
      <c r="D19" s="143"/>
      <c r="E19" s="144"/>
      <c r="F19" s="136">
        <f>15000/3</f>
        <v>5000</v>
      </c>
      <c r="G19" s="113">
        <f>F19/B4</f>
        <v>0.78284014404258651</v>
      </c>
      <c r="H19" s="145">
        <f t="shared" si="3"/>
        <v>60000</v>
      </c>
      <c r="I19" s="146"/>
      <c r="J19" s="128">
        <v>0</v>
      </c>
      <c r="K19" s="151"/>
      <c r="L19" s="151"/>
      <c r="M19" s="152"/>
      <c r="N19" s="178" t="s">
        <v>295</v>
      </c>
      <c r="O19" s="179"/>
      <c r="P19" s="179"/>
      <c r="Q19" s="179"/>
      <c r="R19" s="179"/>
      <c r="S19" s="179"/>
    </row>
    <row r="20" spans="1:19" x14ac:dyDescent="0.25">
      <c r="A20" s="8" t="s">
        <v>95</v>
      </c>
      <c r="B20" s="142" t="s">
        <v>56</v>
      </c>
      <c r="C20" s="143"/>
      <c r="D20" s="143"/>
      <c r="E20" s="144"/>
      <c r="F20" s="128">
        <f>25000/12/3</f>
        <v>694.44444444444446</v>
      </c>
      <c r="G20" s="113">
        <f>F20/B4</f>
        <v>0.10872779778369257</v>
      </c>
      <c r="H20" s="163">
        <f t="shared" si="3"/>
        <v>8333.3333333333339</v>
      </c>
      <c r="I20" s="163"/>
      <c r="J20" s="128">
        <f>17250/3</f>
        <v>5750</v>
      </c>
      <c r="K20" s="151"/>
      <c r="L20" s="151"/>
      <c r="M20" s="152"/>
      <c r="N20" s="178"/>
      <c r="O20" s="179"/>
      <c r="P20" s="179"/>
      <c r="Q20" s="179"/>
      <c r="R20" s="179"/>
      <c r="S20" s="179"/>
    </row>
    <row r="21" spans="1:19" x14ac:dyDescent="0.25">
      <c r="A21" s="8" t="s">
        <v>96</v>
      </c>
      <c r="B21" s="142" t="s">
        <v>84</v>
      </c>
      <c r="C21" s="143"/>
      <c r="D21" s="143"/>
      <c r="E21" s="144"/>
      <c r="F21" s="128">
        <f>(7500+7500)+(3000+3000)/12</f>
        <v>15500</v>
      </c>
      <c r="G21" s="113">
        <f>F21/B4</f>
        <v>2.4268044465320182</v>
      </c>
      <c r="H21" s="145">
        <f t="shared" si="3"/>
        <v>186000</v>
      </c>
      <c r="I21" s="146"/>
      <c r="J21" s="128">
        <f>545615/3</f>
        <v>181871.66666666666</v>
      </c>
      <c r="K21" s="151"/>
      <c r="L21" s="151"/>
      <c r="M21" s="152"/>
      <c r="N21" s="178" t="s">
        <v>296</v>
      </c>
      <c r="O21" s="179"/>
      <c r="P21" s="179"/>
      <c r="Q21" s="179"/>
      <c r="R21" s="179"/>
      <c r="S21" s="179"/>
    </row>
    <row r="22" spans="1:19" x14ac:dyDescent="0.25">
      <c r="A22" s="8" t="s">
        <v>97</v>
      </c>
      <c r="B22" s="142" t="s">
        <v>146</v>
      </c>
      <c r="C22" s="143"/>
      <c r="D22" s="143"/>
      <c r="E22" s="144"/>
      <c r="F22" s="128">
        <f>12000/F4*B4/12</f>
        <v>147.49555458051404</v>
      </c>
      <c r="G22" s="113">
        <f>F22/B4</f>
        <v>2.3093088238690159E-2</v>
      </c>
      <c r="H22" s="145">
        <f t="shared" si="3"/>
        <v>1769.9466549661684</v>
      </c>
      <c r="I22" s="146"/>
      <c r="J22" s="128">
        <v>1785</v>
      </c>
      <c r="K22" s="151"/>
      <c r="L22" s="151"/>
      <c r="M22" s="152"/>
      <c r="N22" s="178"/>
      <c r="O22" s="179"/>
      <c r="P22" s="179"/>
      <c r="Q22" s="179"/>
      <c r="R22" s="179"/>
      <c r="S22" s="179"/>
    </row>
    <row r="23" spans="1:19" ht="15" customHeight="1" x14ac:dyDescent="0.25">
      <c r="A23" s="8" t="s">
        <v>148</v>
      </c>
      <c r="B23" s="142" t="s">
        <v>85</v>
      </c>
      <c r="C23" s="143"/>
      <c r="D23" s="143"/>
      <c r="E23" s="144"/>
      <c r="F23" s="128">
        <f>36*84</f>
        <v>3024</v>
      </c>
      <c r="G23" s="113">
        <f>F23/B4</f>
        <v>0.47346171911695634</v>
      </c>
      <c r="H23" s="145">
        <f t="shared" si="3"/>
        <v>36288</v>
      </c>
      <c r="I23" s="146"/>
      <c r="J23" s="128">
        <f>106560/3</f>
        <v>35520</v>
      </c>
      <c r="K23" s="151"/>
      <c r="L23" s="151"/>
      <c r="M23" s="152"/>
      <c r="N23" s="178"/>
      <c r="O23" s="179"/>
      <c r="P23" s="179"/>
      <c r="Q23" s="179"/>
      <c r="R23" s="179"/>
      <c r="S23" s="179"/>
    </row>
    <row r="24" spans="1:19" ht="15" customHeight="1" x14ac:dyDescent="0.25">
      <c r="A24" s="8" t="s">
        <v>280</v>
      </c>
      <c r="B24" s="142" t="s">
        <v>281</v>
      </c>
      <c r="C24" s="143"/>
      <c r="D24" s="143"/>
      <c r="E24" s="144"/>
      <c r="F24" s="128">
        <f>3000/3</f>
        <v>1000</v>
      </c>
      <c r="G24" s="113">
        <f>F24/B4</f>
        <v>0.15656802880851731</v>
      </c>
      <c r="H24" s="145">
        <f t="shared" si="3"/>
        <v>12000</v>
      </c>
      <c r="I24" s="146"/>
      <c r="J24" s="128">
        <f>18000/3*2</f>
        <v>12000</v>
      </c>
      <c r="K24" s="154"/>
      <c r="L24" s="154"/>
      <c r="M24" s="155"/>
      <c r="N24" s="178"/>
      <c r="O24" s="179"/>
      <c r="P24" s="179"/>
      <c r="Q24" s="179"/>
      <c r="R24" s="179"/>
      <c r="S24" s="179"/>
    </row>
    <row r="25" spans="1:19" ht="30.75" customHeight="1" x14ac:dyDescent="0.25">
      <c r="A25" s="13" t="s">
        <v>46</v>
      </c>
      <c r="B25" s="165" t="s">
        <v>60</v>
      </c>
      <c r="C25" s="166"/>
      <c r="D25" s="166"/>
      <c r="E25" s="167"/>
      <c r="F25" s="14">
        <f>SUM(F26:F33)</f>
        <v>67253.115522091422</v>
      </c>
      <c r="G25" s="115">
        <f>SUM(G26:G33)</f>
        <v>10.240945642923451</v>
      </c>
      <c r="H25" s="168">
        <f>SUM(H26:I32)</f>
        <v>781078.16865892662</v>
      </c>
      <c r="I25" s="169"/>
      <c r="J25" s="14"/>
      <c r="K25" s="233">
        <f>G25</f>
        <v>10.240945642923451</v>
      </c>
      <c r="L25" s="159"/>
      <c r="M25" s="159"/>
    </row>
    <row r="26" spans="1:19" ht="13.5" customHeight="1" x14ac:dyDescent="0.25">
      <c r="A26" s="8" t="s">
        <v>47</v>
      </c>
      <c r="B26" s="142" t="s">
        <v>78</v>
      </c>
      <c r="C26" s="143"/>
      <c r="D26" s="143"/>
      <c r="E26" s="144"/>
      <c r="F26" s="128">
        <f>Банк!J4/F4/12*B4</f>
        <v>491.65184860171348</v>
      </c>
      <c r="G26" s="113">
        <f>F26/B4</f>
        <v>7.6976960795633861E-2</v>
      </c>
      <c r="H26" s="163">
        <f>F26*12</f>
        <v>5899.8221832205618</v>
      </c>
      <c r="I26" s="163"/>
      <c r="J26" s="128">
        <f>16665.1231483729/3</f>
        <v>5555.0410494576327</v>
      </c>
      <c r="K26" s="172"/>
      <c r="L26" s="172"/>
      <c r="M26" s="173"/>
      <c r="N26" s="178"/>
      <c r="O26" s="179"/>
      <c r="P26" s="179"/>
      <c r="Q26" s="179"/>
      <c r="R26" s="179"/>
      <c r="S26" s="179"/>
    </row>
    <row r="27" spans="1:19" ht="13.5" customHeight="1" x14ac:dyDescent="0.25">
      <c r="A27" s="8" t="s">
        <v>49</v>
      </c>
      <c r="B27" s="160" t="s">
        <v>83</v>
      </c>
      <c r="C27" s="161"/>
      <c r="D27" s="161"/>
      <c r="E27" s="162"/>
      <c r="F27" s="128">
        <f>12160/F4*B4</f>
        <v>1793.5459436990509</v>
      </c>
      <c r="G27" s="113">
        <f>F27/B4</f>
        <v>0.28081195298247236</v>
      </c>
      <c r="H27" s="163">
        <f>F27*12</f>
        <v>21522.551324388609</v>
      </c>
      <c r="I27" s="163"/>
      <c r="J27" s="128">
        <f>58010.8332972697/3</f>
        <v>19336.944432423235</v>
      </c>
      <c r="K27" s="174"/>
      <c r="L27" s="174"/>
      <c r="M27" s="175"/>
      <c r="N27" s="178"/>
      <c r="O27" s="179"/>
      <c r="P27" s="179"/>
      <c r="Q27" s="179"/>
      <c r="R27" s="179"/>
      <c r="S27" s="179"/>
    </row>
    <row r="28" spans="1:19" ht="13.5" customHeight="1" x14ac:dyDescent="0.25">
      <c r="A28" s="8" t="s">
        <v>53</v>
      </c>
      <c r="B28" s="142" t="s">
        <v>86</v>
      </c>
      <c r="C28" s="143"/>
      <c r="D28" s="143"/>
      <c r="E28" s="144"/>
      <c r="F28" s="128">
        <f>1500/F4*B4</f>
        <v>221.24333187077104</v>
      </c>
      <c r="G28" s="113">
        <f>F28/B4</f>
        <v>3.4639632358035237E-2</v>
      </c>
      <c r="H28" s="163">
        <f>F28*12</f>
        <v>2654.9199824492525</v>
      </c>
      <c r="I28" s="163"/>
      <c r="J28" s="128">
        <f>2615.46123074244/3</f>
        <v>871.82041024748003</v>
      </c>
      <c r="K28" s="174"/>
      <c r="L28" s="174"/>
      <c r="M28" s="175"/>
      <c r="N28" s="178" t="s">
        <v>297</v>
      </c>
      <c r="O28" s="179"/>
      <c r="P28" s="179"/>
      <c r="Q28" s="179"/>
      <c r="R28" s="179"/>
      <c r="S28" s="179"/>
    </row>
    <row r="29" spans="1:19" ht="15" customHeight="1" x14ac:dyDescent="0.25">
      <c r="A29" s="8" t="s">
        <v>54</v>
      </c>
      <c r="B29" s="142" t="s">
        <v>243</v>
      </c>
      <c r="C29" s="143"/>
      <c r="D29" s="143"/>
      <c r="E29" s="144"/>
      <c r="F29" s="128">
        <f>(27000+4000)/F4*B4</f>
        <v>4572.3621919959351</v>
      </c>
      <c r="G29" s="113">
        <f>F29/B4</f>
        <v>0.71588573539939493</v>
      </c>
      <c r="H29" s="163">
        <f t="shared" ref="H29:H32" si="4">F29*12</f>
        <v>54868.346303951221</v>
      </c>
      <c r="I29" s="163"/>
      <c r="J29" s="128">
        <f>102054.396603645/3</f>
        <v>34018.132201214998</v>
      </c>
      <c r="K29" s="174"/>
      <c r="L29" s="174"/>
      <c r="M29" s="175"/>
      <c r="N29" s="178" t="s">
        <v>298</v>
      </c>
      <c r="O29" s="179"/>
      <c r="P29" s="179"/>
      <c r="Q29" s="179"/>
      <c r="R29" s="179"/>
      <c r="S29" s="179"/>
    </row>
    <row r="30" spans="1:19" x14ac:dyDescent="0.25">
      <c r="A30" s="8" t="s">
        <v>55</v>
      </c>
      <c r="B30" s="142" t="s">
        <v>149</v>
      </c>
      <c r="C30" s="143"/>
      <c r="D30" s="143"/>
      <c r="E30" s="144"/>
      <c r="F30" s="128">
        <f>1500/F4*B4</f>
        <v>221.24333187077104</v>
      </c>
      <c r="G30" s="113">
        <f>F30/B4</f>
        <v>3.4639632358035237E-2</v>
      </c>
      <c r="H30" s="163">
        <f t="shared" si="4"/>
        <v>2654.9199824492525</v>
      </c>
      <c r="I30" s="163"/>
      <c r="J30" s="128">
        <f>14389.9525637061/3</f>
        <v>4796.6508545687002</v>
      </c>
      <c r="K30" s="174"/>
      <c r="L30" s="174"/>
      <c r="M30" s="175"/>
      <c r="N30" s="178"/>
      <c r="O30" s="179"/>
      <c r="P30" s="179"/>
      <c r="Q30" s="179"/>
      <c r="R30" s="179"/>
      <c r="S30" s="179"/>
    </row>
    <row r="31" spans="1:19" x14ac:dyDescent="0.25">
      <c r="A31" s="8" t="s">
        <v>81</v>
      </c>
      <c r="B31" s="160" t="s">
        <v>241</v>
      </c>
      <c r="C31" s="161"/>
      <c r="D31" s="161"/>
      <c r="E31" s="162"/>
      <c r="F31" s="128">
        <f>6000/F4*B4+10000/F4/12*B4+6000/F4*B4/12</f>
        <v>1081.6340669237695</v>
      </c>
      <c r="G31" s="113">
        <f>F31/B4</f>
        <v>0.16934931375039447</v>
      </c>
      <c r="H31" s="163">
        <f>F31*12</f>
        <v>12979.608803085233</v>
      </c>
      <c r="I31" s="163"/>
      <c r="J31" s="128">
        <f>30528.7336042452/3+8815/3</f>
        <v>13114.577868081735</v>
      </c>
      <c r="K31" s="174"/>
      <c r="L31" s="174"/>
      <c r="M31" s="175"/>
      <c r="N31" s="178"/>
      <c r="O31" s="179"/>
      <c r="P31" s="179"/>
      <c r="Q31" s="179"/>
      <c r="R31" s="179"/>
      <c r="S31" s="179"/>
    </row>
    <row r="32" spans="1:19" x14ac:dyDescent="0.25">
      <c r="A32" s="8" t="s">
        <v>82</v>
      </c>
      <c r="B32" s="142" t="s">
        <v>59</v>
      </c>
      <c r="C32" s="143"/>
      <c r="D32" s="143"/>
      <c r="E32" s="144"/>
      <c r="F32" s="128">
        <f>(ФОТ!J25+ФОТ!E34)/F4*B4</f>
        <v>56708.16667328187</v>
      </c>
      <c r="G32" s="113">
        <f>F32/B4</f>
        <v>8.8786858733805971</v>
      </c>
      <c r="H32" s="163">
        <f t="shared" si="4"/>
        <v>680498.00007938244</v>
      </c>
      <c r="I32" s="163"/>
      <c r="J32" s="128">
        <f>2552138.77/3</f>
        <v>850712.92333333334</v>
      </c>
      <c r="K32" s="174"/>
      <c r="L32" s="174"/>
      <c r="M32" s="175"/>
      <c r="N32" s="178" t="s">
        <v>299</v>
      </c>
      <c r="O32" s="179"/>
      <c r="P32" s="179"/>
      <c r="Q32" s="179"/>
      <c r="R32" s="179"/>
      <c r="S32" s="179"/>
    </row>
    <row r="33" spans="1:41" x14ac:dyDescent="0.25">
      <c r="A33" s="8" t="s">
        <v>246</v>
      </c>
      <c r="B33" s="160" t="s">
        <v>247</v>
      </c>
      <c r="C33" s="161"/>
      <c r="D33" s="161"/>
      <c r="E33" s="162"/>
      <c r="F33" s="128">
        <f>176000/F4/12*B4</f>
        <v>2163.2681338475395</v>
      </c>
      <c r="G33" s="113">
        <f>F33/F4</f>
        <v>4.9956541898887825E-2</v>
      </c>
      <c r="H33" s="163">
        <f>F33*12</f>
        <v>25959.217606170474</v>
      </c>
      <c r="I33" s="163"/>
      <c r="J33" s="128">
        <f>46505.2889654859/3</f>
        <v>15501.7629884953</v>
      </c>
      <c r="K33" s="176"/>
      <c r="L33" s="176"/>
      <c r="M33" s="177"/>
      <c r="N33" s="178" t="s">
        <v>300</v>
      </c>
      <c r="O33" s="179"/>
      <c r="P33" s="179"/>
      <c r="Q33" s="179"/>
      <c r="R33" s="179"/>
      <c r="S33" s="179"/>
    </row>
    <row r="34" spans="1:41" ht="15.75" x14ac:dyDescent="0.25">
      <c r="A34" s="13" t="s">
        <v>57</v>
      </c>
      <c r="B34" s="165" t="s">
        <v>279</v>
      </c>
      <c r="C34" s="166"/>
      <c r="D34" s="166"/>
      <c r="E34" s="167"/>
      <c r="F34" s="14">
        <f>B4*G34</f>
        <v>6387</v>
      </c>
      <c r="G34" s="115">
        <v>1</v>
      </c>
      <c r="H34" s="168">
        <f>F34*12</f>
        <v>76644</v>
      </c>
      <c r="I34" s="169"/>
      <c r="J34" s="14"/>
      <c r="K34" s="233">
        <f>G34</f>
        <v>1</v>
      </c>
      <c r="L34" s="159"/>
      <c r="M34" s="159"/>
    </row>
    <row r="35" spans="1:41" ht="24.75" customHeight="1" x14ac:dyDescent="0.25">
      <c r="A35" s="183" t="s">
        <v>100</v>
      </c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5"/>
    </row>
    <row r="36" spans="1:41" s="54" customFormat="1" ht="30.75" customHeight="1" x14ac:dyDescent="0.25">
      <c r="A36" s="15" t="s">
        <v>57</v>
      </c>
      <c r="B36" s="188" t="s">
        <v>61</v>
      </c>
      <c r="C36" s="189"/>
      <c r="D36" s="189"/>
      <c r="E36" s="190"/>
      <c r="F36" s="16">
        <f>F37+F38</f>
        <v>5769.0833333333339</v>
      </c>
      <c r="G36" s="116">
        <f>G37+G38</f>
        <v>0.90325400553207047</v>
      </c>
      <c r="H36" s="186"/>
      <c r="I36" s="187"/>
      <c r="J36" s="134"/>
      <c r="K36" s="191">
        <f>G36</f>
        <v>0.90325400553207047</v>
      </c>
      <c r="L36" s="192"/>
      <c r="M36" s="19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</row>
    <row r="37" spans="1:41" ht="15" customHeight="1" x14ac:dyDescent="0.25">
      <c r="A37" s="8" t="s">
        <v>58</v>
      </c>
      <c r="B37" s="142" t="s">
        <v>151</v>
      </c>
      <c r="C37" s="143"/>
      <c r="D37" s="143"/>
      <c r="E37" s="144"/>
      <c r="F37" s="128">
        <f>165*1.1*1*30.5+28*100/12</f>
        <v>5769.0833333333339</v>
      </c>
      <c r="G37" s="113">
        <f>F37/B4</f>
        <v>0.90325400553207047</v>
      </c>
      <c r="H37" s="163">
        <f>F37*12</f>
        <v>69229</v>
      </c>
      <c r="I37" s="163"/>
      <c r="J37" s="128"/>
      <c r="K37" s="55"/>
      <c r="L37" s="55"/>
      <c r="M37" s="55"/>
      <c r="N37" s="170"/>
      <c r="O37" s="171"/>
      <c r="P37" s="171"/>
      <c r="Q37" s="171"/>
      <c r="R37" s="171"/>
      <c r="S37" s="171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</row>
    <row r="38" spans="1:41" x14ac:dyDescent="0.25">
      <c r="A38" s="8" t="s">
        <v>150</v>
      </c>
      <c r="B38" s="142" t="s">
        <v>152</v>
      </c>
      <c r="C38" s="143"/>
      <c r="D38" s="143"/>
      <c r="E38" s="144"/>
      <c r="F38" s="128"/>
      <c r="G38" s="113">
        <f>F38/D4</f>
        <v>0</v>
      </c>
      <c r="H38" s="163">
        <f>F38*12</f>
        <v>0</v>
      </c>
      <c r="I38" s="163"/>
      <c r="J38" s="128"/>
      <c r="K38" s="55"/>
      <c r="L38" s="55"/>
      <c r="M38" s="55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</row>
    <row r="39" spans="1:41" x14ac:dyDescent="0.25">
      <c r="A39" s="91"/>
      <c r="B39" s="92"/>
      <c r="C39" s="92"/>
      <c r="D39" s="92"/>
      <c r="E39" s="92"/>
      <c r="F39" s="93"/>
      <c r="G39" s="117"/>
      <c r="H39" s="93"/>
      <c r="I39" s="93"/>
      <c r="J39" s="93"/>
      <c r="K39" s="94"/>
      <c r="L39" s="94"/>
      <c r="M39" s="94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</row>
    <row r="40" spans="1:41" ht="15" customHeight="1" x14ac:dyDescent="0.25">
      <c r="A40" s="164" t="s">
        <v>245</v>
      </c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</row>
    <row r="41" spans="1:41" x14ac:dyDescent="0.25">
      <c r="A41" s="164"/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</row>
    <row r="42" spans="1:41" ht="16.5" customHeight="1" x14ac:dyDescent="0.25">
      <c r="A42" s="164"/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</row>
    <row r="43" spans="1:41" ht="15.75" x14ac:dyDescent="0.25">
      <c r="G43" s="139">
        <v>2016</v>
      </c>
      <c r="H43" s="139">
        <v>2015</v>
      </c>
      <c r="K43" s="56"/>
      <c r="L43" s="56"/>
      <c r="M43" s="56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</row>
    <row r="44" spans="1:41" s="58" customFormat="1" ht="31.5" customHeight="1" x14ac:dyDescent="0.25">
      <c r="A44" s="49">
        <v>1</v>
      </c>
      <c r="B44" s="156" t="s">
        <v>168</v>
      </c>
      <c r="C44" s="157"/>
      <c r="D44" s="157"/>
      <c r="E44" s="158"/>
      <c r="F44" s="132">
        <f>F7</f>
        <v>55094.448288802159</v>
      </c>
      <c r="G44" s="119">
        <f>K7</f>
        <v>9.2298512085514837</v>
      </c>
      <c r="H44" s="119">
        <v>4.1500000000000004</v>
      </c>
      <c r="J44" s="57"/>
      <c r="K44" s="57"/>
      <c r="L44" s="57"/>
      <c r="M44" s="57"/>
    </row>
    <row r="45" spans="1:41" s="58" customFormat="1" ht="24.75" customHeight="1" x14ac:dyDescent="0.25">
      <c r="A45" s="130" t="s">
        <v>46</v>
      </c>
      <c r="B45" s="156" t="s">
        <v>169</v>
      </c>
      <c r="C45" s="157"/>
      <c r="D45" s="157"/>
      <c r="E45" s="158"/>
      <c r="F45" s="132">
        <f>F25</f>
        <v>67253.115522091422</v>
      </c>
      <c r="G45" s="119">
        <f>K25</f>
        <v>10.240945642923451</v>
      </c>
      <c r="H45" s="119">
        <v>14.42</v>
      </c>
      <c r="J45" s="57"/>
      <c r="K45" s="57"/>
      <c r="L45" s="57"/>
      <c r="M45" s="57"/>
    </row>
    <row r="46" spans="1:41" s="58" customFormat="1" ht="24.75" customHeight="1" x14ac:dyDescent="0.25">
      <c r="A46" s="130">
        <v>3</v>
      </c>
      <c r="B46" s="156" t="s">
        <v>279</v>
      </c>
      <c r="C46" s="157"/>
      <c r="D46" s="157"/>
      <c r="E46" s="158"/>
      <c r="F46" s="132">
        <f>F34</f>
        <v>6387</v>
      </c>
      <c r="G46" s="119">
        <f>K34</f>
        <v>1</v>
      </c>
      <c r="H46" s="119">
        <v>1.5</v>
      </c>
      <c r="J46" s="57"/>
      <c r="K46" s="57"/>
      <c r="L46" s="57"/>
      <c r="M46" s="57"/>
    </row>
    <row r="47" spans="1:41" s="58" customFormat="1" ht="23.25" customHeight="1" x14ac:dyDescent="0.25">
      <c r="A47" s="130">
        <v>4</v>
      </c>
      <c r="B47" s="156" t="s">
        <v>61</v>
      </c>
      <c r="C47" s="157"/>
      <c r="D47" s="157"/>
      <c r="E47" s="158"/>
      <c r="F47" s="132">
        <f>F36</f>
        <v>5769.0833333333339</v>
      </c>
      <c r="G47" s="119">
        <f>K36</f>
        <v>0.90325400553207047</v>
      </c>
      <c r="H47" s="119">
        <v>1.8</v>
      </c>
      <c r="J47" s="57"/>
      <c r="K47" s="57"/>
      <c r="L47" s="57"/>
      <c r="M47" s="57"/>
    </row>
    <row r="48" spans="1:41" ht="15.75" x14ac:dyDescent="0.25">
      <c r="A48" s="182" t="s">
        <v>170</v>
      </c>
      <c r="B48" s="182"/>
      <c r="C48" s="182"/>
      <c r="D48" s="182"/>
      <c r="E48" s="182"/>
      <c r="F48" s="6">
        <f>SUM(F44:F47)</f>
        <v>134503.64714422691</v>
      </c>
      <c r="G48" s="131">
        <f>SUM(G44:G47)</f>
        <v>21.374050857007006</v>
      </c>
      <c r="H48" s="119">
        <f>SUM(H44:H47)</f>
        <v>21.87</v>
      </c>
    </row>
  </sheetData>
  <mergeCells count="106">
    <mergeCell ref="N26:S26"/>
    <mergeCell ref="N27:S27"/>
    <mergeCell ref="N28:S28"/>
    <mergeCell ref="N29:S29"/>
    <mergeCell ref="N30:S30"/>
    <mergeCell ref="N31:S31"/>
    <mergeCell ref="N19:S19"/>
    <mergeCell ref="N20:S20"/>
    <mergeCell ref="N21:S21"/>
    <mergeCell ref="N22:S22"/>
    <mergeCell ref="N23:S23"/>
    <mergeCell ref="N24:S24"/>
    <mergeCell ref="B46:E46"/>
    <mergeCell ref="B47:E47"/>
    <mergeCell ref="A48:E48"/>
    <mergeCell ref="J5:J6"/>
    <mergeCell ref="J8:J9"/>
    <mergeCell ref="N10:S10"/>
    <mergeCell ref="N15:S15"/>
    <mergeCell ref="N16:S16"/>
    <mergeCell ref="N17:S17"/>
    <mergeCell ref="N18:S18"/>
    <mergeCell ref="N37:S37"/>
    <mergeCell ref="B38:E38"/>
    <mergeCell ref="H38:I38"/>
    <mergeCell ref="A40:M42"/>
    <mergeCell ref="B44:E44"/>
    <mergeCell ref="B45:E45"/>
    <mergeCell ref="A35:M35"/>
    <mergeCell ref="B36:E36"/>
    <mergeCell ref="H36:I36"/>
    <mergeCell ref="K36:M36"/>
    <mergeCell ref="B37:E37"/>
    <mergeCell ref="H37:I37"/>
    <mergeCell ref="B33:E33"/>
    <mergeCell ref="H33:I33"/>
    <mergeCell ref="B34:E34"/>
    <mergeCell ref="H34:I34"/>
    <mergeCell ref="K34:M34"/>
    <mergeCell ref="N32:S32"/>
    <mergeCell ref="N33:S33"/>
    <mergeCell ref="B28:E28"/>
    <mergeCell ref="H28:I28"/>
    <mergeCell ref="B29:E29"/>
    <mergeCell ref="H29:I29"/>
    <mergeCell ref="B30:E30"/>
    <mergeCell ref="H30:I30"/>
    <mergeCell ref="K25:M25"/>
    <mergeCell ref="B26:E26"/>
    <mergeCell ref="H26:I26"/>
    <mergeCell ref="K26:M33"/>
    <mergeCell ref="B27:E27"/>
    <mergeCell ref="H27:I27"/>
    <mergeCell ref="B31:E31"/>
    <mergeCell ref="H31:I31"/>
    <mergeCell ref="B32:E32"/>
    <mergeCell ref="H32:I32"/>
    <mergeCell ref="B23:E23"/>
    <mergeCell ref="H23:I23"/>
    <mergeCell ref="B24:E24"/>
    <mergeCell ref="H24:I24"/>
    <mergeCell ref="B25:E25"/>
    <mergeCell ref="H25:I25"/>
    <mergeCell ref="B20:E20"/>
    <mergeCell ref="H20:I20"/>
    <mergeCell ref="B21:E21"/>
    <mergeCell ref="H21:I21"/>
    <mergeCell ref="B22:E22"/>
    <mergeCell ref="H22:I22"/>
    <mergeCell ref="H7:I7"/>
    <mergeCell ref="B17:E17"/>
    <mergeCell ref="H17:I17"/>
    <mergeCell ref="B18:E18"/>
    <mergeCell ref="H18:I18"/>
    <mergeCell ref="B19:E19"/>
    <mergeCell ref="H19:I19"/>
    <mergeCell ref="B14:E14"/>
    <mergeCell ref="H14:I14"/>
    <mergeCell ref="B15:E15"/>
    <mergeCell ref="H15:I15"/>
    <mergeCell ref="B16:E16"/>
    <mergeCell ref="H16:I16"/>
    <mergeCell ref="K7:M7"/>
    <mergeCell ref="A8:A9"/>
    <mergeCell ref="B8:E9"/>
    <mergeCell ref="F8:F9"/>
    <mergeCell ref="G8:G9"/>
    <mergeCell ref="H8:I9"/>
    <mergeCell ref="K8:M24"/>
    <mergeCell ref="B10:E10"/>
    <mergeCell ref="A1:I3"/>
    <mergeCell ref="K4:M4"/>
    <mergeCell ref="A5:A6"/>
    <mergeCell ref="B5:E6"/>
    <mergeCell ref="F5:F6"/>
    <mergeCell ref="G5:G6"/>
    <mergeCell ref="H5:I6"/>
    <mergeCell ref="K5:M6"/>
    <mergeCell ref="H10:I10"/>
    <mergeCell ref="B11:E11"/>
    <mergeCell ref="H11:I11"/>
    <mergeCell ref="B12:E12"/>
    <mergeCell ref="H12:I12"/>
    <mergeCell ref="B13:E13"/>
    <mergeCell ref="H13:I13"/>
    <mergeCell ref="B7:E7"/>
  </mergeCells>
  <printOptions horizontalCentered="1"/>
  <pageMargins left="0.11811023622047245" right="0.11811023622047245" top="0.15748031496062992" bottom="0.15748031496062992" header="0" footer="0"/>
  <pageSetup paperSize="9" scale="67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2"/>
  <sheetViews>
    <sheetView workbookViewId="0">
      <selection activeCell="F9" sqref="F9:F12"/>
    </sheetView>
  </sheetViews>
  <sheetFormatPr defaultRowHeight="15" x14ac:dyDescent="0.25"/>
  <cols>
    <col min="1" max="1" width="14.5703125" style="19" customWidth="1"/>
    <col min="2" max="2" width="18.42578125" style="19" customWidth="1"/>
    <col min="3" max="3" width="10.7109375" style="19" customWidth="1"/>
    <col min="4" max="4" width="9.140625" style="19"/>
    <col min="5" max="5" width="13.42578125" style="19" customWidth="1"/>
    <col min="6" max="6" width="10.5703125" style="19" bestFit="1" customWidth="1"/>
    <col min="7" max="8" width="9.140625" style="19"/>
    <col min="9" max="9" width="11.5703125" style="19" bestFit="1" customWidth="1"/>
    <col min="10" max="16384" width="9.140625" style="19"/>
  </cols>
  <sheetData>
    <row r="1" spans="1:11" ht="21.75" customHeight="1" x14ac:dyDescent="0.25">
      <c r="A1" s="236" t="s">
        <v>138</v>
      </c>
      <c r="B1" s="236"/>
      <c r="C1" s="236"/>
      <c r="D1" s="236"/>
      <c r="E1" s="236"/>
      <c r="F1" s="236"/>
      <c r="G1" s="236"/>
      <c r="H1" s="236"/>
      <c r="I1" s="236"/>
      <c r="J1" s="27"/>
      <c r="K1" s="27"/>
    </row>
    <row r="2" spans="1:11" ht="15" customHeight="1" x14ac:dyDescent="0.25">
      <c r="A2" s="20" t="s">
        <v>114</v>
      </c>
      <c r="B2" s="28"/>
      <c r="C2" s="28"/>
      <c r="D2" s="28"/>
      <c r="E2" s="28"/>
      <c r="F2" s="28"/>
      <c r="G2" s="28"/>
      <c r="H2" s="28"/>
      <c r="I2" s="28"/>
      <c r="J2" s="29"/>
      <c r="K2" s="29"/>
    </row>
    <row r="3" spans="1:11" ht="30" x14ac:dyDescent="0.25">
      <c r="A3" s="20" t="s">
        <v>105</v>
      </c>
      <c r="B3" s="20" t="s">
        <v>106</v>
      </c>
      <c r="C3" s="20" t="s">
        <v>107</v>
      </c>
      <c r="D3" s="20" t="s">
        <v>108</v>
      </c>
      <c r="E3" s="20" t="s">
        <v>109</v>
      </c>
      <c r="F3" s="20" t="s">
        <v>110</v>
      </c>
      <c r="G3" s="20" t="s">
        <v>111</v>
      </c>
      <c r="H3" s="20" t="s">
        <v>112</v>
      </c>
      <c r="I3" s="20" t="s">
        <v>255</v>
      </c>
    </row>
    <row r="4" spans="1:11" x14ac:dyDescent="0.25">
      <c r="A4" s="25" t="s">
        <v>113</v>
      </c>
      <c r="B4" s="23">
        <v>201</v>
      </c>
      <c r="C4" s="20">
        <v>8</v>
      </c>
      <c r="D4" s="20">
        <v>0.08</v>
      </c>
      <c r="E4" s="23">
        <f>B4*D4</f>
        <v>16.080000000000002</v>
      </c>
      <c r="F4" s="21">
        <f>E4/C4</f>
        <v>2.0100000000000002</v>
      </c>
      <c r="G4" s="20">
        <v>9000</v>
      </c>
      <c r="H4" s="23">
        <f>G4*F4</f>
        <v>18090.000000000004</v>
      </c>
      <c r="I4" s="23">
        <f>H4/'Смета Ямская 90'!F4*19299</f>
        <v>8062.2337944253295</v>
      </c>
    </row>
    <row r="5" spans="1:11" x14ac:dyDescent="0.25">
      <c r="A5" s="25" t="s">
        <v>113</v>
      </c>
      <c r="B5" s="23"/>
      <c r="C5" s="20"/>
      <c r="D5" s="20"/>
      <c r="E5" s="20"/>
      <c r="F5" s="21"/>
      <c r="G5" s="25"/>
      <c r="H5" s="25"/>
      <c r="I5" s="25"/>
    </row>
    <row r="8" spans="1:11" ht="30" x14ac:dyDescent="0.25">
      <c r="A8" s="20" t="s">
        <v>105</v>
      </c>
      <c r="B8" s="20" t="s">
        <v>4</v>
      </c>
      <c r="C8" s="20" t="s">
        <v>256</v>
      </c>
      <c r="D8" s="20" t="s">
        <v>257</v>
      </c>
      <c r="E8" s="20" t="s">
        <v>112</v>
      </c>
      <c r="F8" s="20" t="s">
        <v>258</v>
      </c>
    </row>
    <row r="9" spans="1:11" ht="30" customHeight="1" x14ac:dyDescent="0.25">
      <c r="A9" s="238" t="s">
        <v>259</v>
      </c>
      <c r="B9" s="106" t="s">
        <v>260</v>
      </c>
      <c r="C9" s="20">
        <v>100</v>
      </c>
      <c r="D9" s="20">
        <v>25</v>
      </c>
      <c r="E9" s="20">
        <f>C9*D9</f>
        <v>2500</v>
      </c>
      <c r="F9" s="237">
        <f>E9+E10+E11+E12</f>
        <v>12500</v>
      </c>
    </row>
    <row r="10" spans="1:11" x14ac:dyDescent="0.25">
      <c r="A10" s="239"/>
      <c r="B10" s="24" t="s">
        <v>261</v>
      </c>
      <c r="C10" s="20">
        <v>20</v>
      </c>
      <c r="D10" s="20">
        <v>300</v>
      </c>
      <c r="E10" s="20">
        <f>C10*D10</f>
        <v>6000</v>
      </c>
      <c r="F10" s="237"/>
    </row>
    <row r="11" spans="1:11" x14ac:dyDescent="0.25">
      <c r="A11" s="239"/>
      <c r="B11" s="24" t="s">
        <v>266</v>
      </c>
      <c r="C11" s="20">
        <v>1</v>
      </c>
      <c r="D11" s="20">
        <v>300</v>
      </c>
      <c r="E11" s="20">
        <f>+E12</f>
        <v>2000</v>
      </c>
      <c r="F11" s="237"/>
    </row>
    <row r="12" spans="1:11" x14ac:dyDescent="0.25">
      <c r="A12" s="240"/>
      <c r="B12" s="25" t="s">
        <v>267</v>
      </c>
      <c r="C12" s="20"/>
      <c r="D12" s="20">
        <v>2000</v>
      </c>
      <c r="E12" s="20">
        <f>D12</f>
        <v>2000</v>
      </c>
      <c r="F12" s="237"/>
    </row>
  </sheetData>
  <mergeCells count="3">
    <mergeCell ref="A1:I1"/>
    <mergeCell ref="F9:F12"/>
    <mergeCell ref="A9:A12"/>
  </mergeCells>
  <pageMargins left="0.7" right="0.7" top="0.75" bottom="0.75" header="0.3" footer="0.3"/>
  <pageSetup paperSize="9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workbookViewId="0">
      <selection activeCell="K11" sqref="K11"/>
    </sheetView>
  </sheetViews>
  <sheetFormatPr defaultRowHeight="15.75" x14ac:dyDescent="0.25"/>
  <cols>
    <col min="1" max="9" width="9.140625" style="3"/>
    <col min="10" max="10" width="13.140625" style="3" customWidth="1"/>
    <col min="11" max="11" width="13.85546875" style="3" customWidth="1"/>
    <col min="12" max="12" width="23.85546875" style="3" customWidth="1"/>
    <col min="13" max="16384" width="9.140625" style="3"/>
  </cols>
  <sheetData>
    <row r="1" spans="1:12" ht="24" customHeight="1" x14ac:dyDescent="0.25">
      <c r="A1" s="236" t="s">
        <v>137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</row>
    <row r="2" spans="1:12" ht="15.75" customHeight="1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2" ht="65.25" customHeight="1" x14ac:dyDescent="0.25">
      <c r="A3" s="242" t="s">
        <v>62</v>
      </c>
      <c r="B3" s="242"/>
      <c r="C3" s="242" t="s">
        <v>68</v>
      </c>
      <c r="D3" s="242"/>
      <c r="E3" s="242" t="s">
        <v>71</v>
      </c>
      <c r="F3" s="242"/>
      <c r="G3" s="7" t="s">
        <v>104</v>
      </c>
      <c r="H3" s="7" t="s">
        <v>72</v>
      </c>
      <c r="I3" s="7" t="s">
        <v>69</v>
      </c>
      <c r="J3" s="7" t="s">
        <v>73</v>
      </c>
      <c r="K3" s="7" t="s">
        <v>70</v>
      </c>
      <c r="L3" s="101" t="s">
        <v>253</v>
      </c>
    </row>
    <row r="4" spans="1:12" x14ac:dyDescent="0.25">
      <c r="A4" s="241" t="s">
        <v>63</v>
      </c>
      <c r="B4" s="241"/>
      <c r="C4" s="243">
        <f>0.13/1.8</f>
        <v>7.2222222222222229E-2</v>
      </c>
      <c r="D4" s="243"/>
      <c r="E4" s="241">
        <v>1500</v>
      </c>
      <c r="F4" s="241"/>
      <c r="G4" s="18">
        <f>C4*E4</f>
        <v>108.33333333333334</v>
      </c>
      <c r="H4" s="1">
        <v>16</v>
      </c>
      <c r="I4" s="2">
        <f>G4/H4</f>
        <v>6.7708333333333339</v>
      </c>
      <c r="J4" s="1">
        <v>280</v>
      </c>
      <c r="K4" s="18">
        <f>J4*G4</f>
        <v>30333.333333333336</v>
      </c>
      <c r="L4" s="103">
        <v>5250</v>
      </c>
    </row>
    <row r="5" spans="1:12" x14ac:dyDescent="0.25">
      <c r="A5" s="241" t="s">
        <v>64</v>
      </c>
      <c r="B5" s="241"/>
      <c r="C5" s="244">
        <f>0.18/1.8</f>
        <v>9.9999999999999992E-2</v>
      </c>
      <c r="D5" s="245"/>
      <c r="E5" s="241">
        <v>1500</v>
      </c>
      <c r="F5" s="241"/>
      <c r="G5" s="18">
        <f t="shared" ref="G5:G8" si="0">C5*E5</f>
        <v>150</v>
      </c>
      <c r="H5" s="1">
        <v>16</v>
      </c>
      <c r="I5" s="2">
        <f t="shared" ref="I5:I8" si="1">G5/H5</f>
        <v>9.375</v>
      </c>
      <c r="J5" s="1">
        <v>280</v>
      </c>
      <c r="K5" s="18">
        <f t="shared" ref="K5:K8" si="2">J5*G5</f>
        <v>42000</v>
      </c>
      <c r="L5" s="103">
        <v>24150</v>
      </c>
    </row>
    <row r="6" spans="1:12" x14ac:dyDescent="0.25">
      <c r="A6" s="241" t="s">
        <v>65</v>
      </c>
      <c r="B6" s="241"/>
      <c r="C6" s="244">
        <f>0.09/1.8</f>
        <v>4.9999999999999996E-2</v>
      </c>
      <c r="D6" s="245"/>
      <c r="E6" s="241">
        <v>1500</v>
      </c>
      <c r="F6" s="241"/>
      <c r="G6" s="18">
        <f t="shared" si="0"/>
        <v>75</v>
      </c>
      <c r="H6" s="1">
        <v>16</v>
      </c>
      <c r="I6" s="2">
        <f t="shared" si="1"/>
        <v>4.6875</v>
      </c>
      <c r="J6" s="1">
        <v>280</v>
      </c>
      <c r="K6" s="18">
        <f t="shared" si="2"/>
        <v>21000</v>
      </c>
      <c r="L6" s="103"/>
    </row>
    <row r="7" spans="1:12" x14ac:dyDescent="0.25">
      <c r="A7" s="241" t="s">
        <v>66</v>
      </c>
      <c r="B7" s="241"/>
      <c r="C7" s="244">
        <f>0.04/1.8</f>
        <v>2.2222222222222223E-2</v>
      </c>
      <c r="D7" s="245"/>
      <c r="E7" s="241">
        <v>1500</v>
      </c>
      <c r="F7" s="241"/>
      <c r="G7" s="18">
        <f t="shared" si="0"/>
        <v>33.333333333333336</v>
      </c>
      <c r="H7" s="1">
        <v>16</v>
      </c>
      <c r="I7" s="2">
        <f t="shared" si="1"/>
        <v>2.0833333333333335</v>
      </c>
      <c r="J7" s="1">
        <v>280</v>
      </c>
      <c r="K7" s="18">
        <f t="shared" si="2"/>
        <v>9333.3333333333339</v>
      </c>
      <c r="L7" s="103">
        <v>10640</v>
      </c>
    </row>
    <row r="8" spans="1:12" x14ac:dyDescent="0.25">
      <c r="A8" s="241" t="s">
        <v>67</v>
      </c>
      <c r="B8" s="241"/>
      <c r="C8" s="244">
        <f>0.11/1.8</f>
        <v>6.1111111111111109E-2</v>
      </c>
      <c r="D8" s="245"/>
      <c r="E8" s="241">
        <v>1500</v>
      </c>
      <c r="F8" s="241"/>
      <c r="G8" s="18">
        <f t="shared" si="0"/>
        <v>91.666666666666657</v>
      </c>
      <c r="H8" s="1">
        <v>16</v>
      </c>
      <c r="I8" s="2">
        <f t="shared" si="1"/>
        <v>5.7291666666666661</v>
      </c>
      <c r="J8" s="1">
        <v>280</v>
      </c>
      <c r="K8" s="18">
        <f t="shared" si="2"/>
        <v>25666.666666666664</v>
      </c>
      <c r="L8" s="103">
        <v>80640</v>
      </c>
    </row>
    <row r="9" spans="1:12" x14ac:dyDescent="0.25">
      <c r="A9" s="241" t="s">
        <v>63</v>
      </c>
      <c r="B9" s="241"/>
      <c r="C9" s="246"/>
      <c r="D9" s="247"/>
      <c r="E9" s="246"/>
      <c r="F9" s="247"/>
      <c r="G9" s="18"/>
      <c r="H9" s="1"/>
      <c r="I9" s="2"/>
      <c r="J9" s="1"/>
      <c r="K9" s="18"/>
      <c r="L9" s="103">
        <v>26880</v>
      </c>
    </row>
    <row r="10" spans="1:12" x14ac:dyDescent="0.25">
      <c r="A10" s="241" t="s">
        <v>136</v>
      </c>
      <c r="B10" s="241"/>
      <c r="C10" s="241"/>
      <c r="D10" s="241"/>
      <c r="E10" s="241"/>
      <c r="F10" s="241"/>
      <c r="G10" s="241"/>
      <c r="H10" s="241"/>
      <c r="I10" s="241"/>
      <c r="J10" s="241"/>
      <c r="K10" s="121">
        <v>120000</v>
      </c>
      <c r="L10" s="102">
        <f>SUM(L7:L9)</f>
        <v>118160</v>
      </c>
    </row>
  </sheetData>
  <mergeCells count="23">
    <mergeCell ref="E6:F6"/>
    <mergeCell ref="E7:F7"/>
    <mergeCell ref="E8:F8"/>
    <mergeCell ref="A10:J10"/>
    <mergeCell ref="A9:B9"/>
    <mergeCell ref="C9:D9"/>
    <mergeCell ref="E9:F9"/>
    <mergeCell ref="A1:K1"/>
    <mergeCell ref="A7:B7"/>
    <mergeCell ref="A8:B8"/>
    <mergeCell ref="C3:D3"/>
    <mergeCell ref="C4:D4"/>
    <mergeCell ref="C5:D5"/>
    <mergeCell ref="C6:D6"/>
    <mergeCell ref="C7:D7"/>
    <mergeCell ref="C8:D8"/>
    <mergeCell ref="A3:B3"/>
    <mergeCell ref="A4:B4"/>
    <mergeCell ref="A5:B5"/>
    <mergeCell ref="A6:B6"/>
    <mergeCell ref="E3:F3"/>
    <mergeCell ref="E4:F4"/>
    <mergeCell ref="E5:F5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D12" sqref="D12"/>
    </sheetView>
  </sheetViews>
  <sheetFormatPr defaultRowHeight="15" x14ac:dyDescent="0.25"/>
  <cols>
    <col min="1" max="1" width="29.140625" customWidth="1"/>
    <col min="2" max="2" width="12.42578125" customWidth="1"/>
    <col min="3" max="3" width="11.5703125" customWidth="1"/>
    <col min="4" max="4" width="13.28515625" customWidth="1"/>
  </cols>
  <sheetData>
    <row r="1" spans="1:11" ht="28.5" customHeight="1" x14ac:dyDescent="0.25">
      <c r="A1" s="248" t="s">
        <v>139</v>
      </c>
      <c r="B1" s="248"/>
      <c r="C1" s="248"/>
      <c r="D1" s="248"/>
      <c r="E1" s="27"/>
      <c r="F1" s="27"/>
      <c r="G1" s="27"/>
      <c r="H1" s="27"/>
      <c r="I1" s="27"/>
      <c r="J1" s="27"/>
      <c r="K1" s="27"/>
    </row>
    <row r="2" spans="1:11" s="19" customFormat="1" ht="30" x14ac:dyDescent="0.25">
      <c r="A2" s="32" t="s">
        <v>140</v>
      </c>
      <c r="B2" s="31" t="s">
        <v>116</v>
      </c>
      <c r="C2" s="32" t="s">
        <v>117</v>
      </c>
      <c r="D2" s="32" t="s">
        <v>118</v>
      </c>
    </row>
    <row r="3" spans="1:11" s="19" customFormat="1" ht="30" x14ac:dyDescent="0.25">
      <c r="A3" s="24" t="s">
        <v>268</v>
      </c>
      <c r="B3" s="40">
        <v>2</v>
      </c>
      <c r="C3" s="40">
        <v>800</v>
      </c>
      <c r="D3" s="20">
        <f>B3*C3</f>
        <v>1600</v>
      </c>
    </row>
    <row r="4" spans="1:11" s="19" customFormat="1" x14ac:dyDescent="0.25">
      <c r="A4" s="24" t="s">
        <v>125</v>
      </c>
      <c r="B4" s="20">
        <v>25</v>
      </c>
      <c r="C4" s="20">
        <v>48</v>
      </c>
      <c r="D4" s="20">
        <f t="shared" ref="D4:D11" si="0">B4*C4</f>
        <v>1200</v>
      </c>
    </row>
    <row r="5" spans="1:11" s="19" customFormat="1" x14ac:dyDescent="0.25">
      <c r="A5" s="25" t="s">
        <v>126</v>
      </c>
      <c r="B5" s="40">
        <v>50</v>
      </c>
      <c r="C5" s="40">
        <v>20</v>
      </c>
      <c r="D5" s="20">
        <f t="shared" si="0"/>
        <v>1000</v>
      </c>
    </row>
    <row r="6" spans="1:11" s="19" customFormat="1" x14ac:dyDescent="0.25">
      <c r="A6" s="25" t="s">
        <v>127</v>
      </c>
      <c r="B6" s="40">
        <v>5</v>
      </c>
      <c r="C6" s="40">
        <v>30</v>
      </c>
      <c r="D6" s="20">
        <f t="shared" si="0"/>
        <v>150</v>
      </c>
    </row>
    <row r="7" spans="1:11" s="19" customFormat="1" x14ac:dyDescent="0.25">
      <c r="A7" s="25" t="s">
        <v>128</v>
      </c>
      <c r="B7" s="40">
        <v>5</v>
      </c>
      <c r="C7" s="40">
        <v>350</v>
      </c>
      <c r="D7" s="20">
        <f t="shared" si="0"/>
        <v>1750</v>
      </c>
    </row>
    <row r="8" spans="1:11" s="19" customFormat="1" x14ac:dyDescent="0.25">
      <c r="A8" s="25" t="s">
        <v>129</v>
      </c>
      <c r="B8" s="40">
        <v>5</v>
      </c>
      <c r="C8" s="40">
        <v>350</v>
      </c>
      <c r="D8" s="20">
        <f t="shared" si="0"/>
        <v>1750</v>
      </c>
    </row>
    <row r="9" spans="1:11" s="19" customFormat="1" x14ac:dyDescent="0.25">
      <c r="A9" s="25" t="s">
        <v>130</v>
      </c>
      <c r="B9" s="40">
        <v>5</v>
      </c>
      <c r="C9" s="40">
        <v>450</v>
      </c>
      <c r="D9" s="20">
        <f t="shared" si="0"/>
        <v>2250</v>
      </c>
    </row>
    <row r="10" spans="1:11" s="19" customFormat="1" x14ac:dyDescent="0.25">
      <c r="A10" s="25" t="s">
        <v>269</v>
      </c>
      <c r="B10" s="40">
        <v>12</v>
      </c>
      <c r="C10" s="40">
        <v>25</v>
      </c>
      <c r="D10" s="20">
        <f t="shared" si="0"/>
        <v>300</v>
      </c>
    </row>
    <row r="11" spans="1:11" s="19" customFormat="1" x14ac:dyDescent="0.25">
      <c r="A11" s="25" t="s">
        <v>131</v>
      </c>
      <c r="B11" s="40">
        <v>5</v>
      </c>
      <c r="C11" s="40">
        <v>60</v>
      </c>
      <c r="D11" s="20">
        <f t="shared" si="0"/>
        <v>300</v>
      </c>
    </row>
    <row r="12" spans="1:11" s="19" customFormat="1" x14ac:dyDescent="0.25">
      <c r="A12" s="33" t="s">
        <v>119</v>
      </c>
      <c r="B12" s="31"/>
      <c r="C12" s="32"/>
      <c r="D12" s="32">
        <f>SUM(D3:D11)</f>
        <v>10300</v>
      </c>
    </row>
    <row r="13" spans="1:11" s="19" customFormat="1" x14ac:dyDescent="0.25">
      <c r="A13" s="25"/>
      <c r="B13" s="40"/>
      <c r="C13" s="20"/>
      <c r="D13" s="20"/>
    </row>
    <row r="14" spans="1:11" s="19" customFormat="1" x14ac:dyDescent="0.25">
      <c r="A14" s="33" t="s">
        <v>120</v>
      </c>
      <c r="B14" s="40"/>
      <c r="C14" s="20"/>
      <c r="D14" s="20"/>
    </row>
    <row r="15" spans="1:11" s="19" customFormat="1" x14ac:dyDescent="0.25">
      <c r="A15" s="25" t="s">
        <v>121</v>
      </c>
      <c r="B15" s="40">
        <v>1</v>
      </c>
      <c r="C15" s="20">
        <v>300</v>
      </c>
      <c r="D15" s="20">
        <f>B15*C15</f>
        <v>300</v>
      </c>
    </row>
    <row r="16" spans="1:11" s="19" customFormat="1" x14ac:dyDescent="0.25">
      <c r="A16" s="25" t="s">
        <v>122</v>
      </c>
      <c r="B16" s="40">
        <v>1</v>
      </c>
      <c r="C16" s="20">
        <v>1300</v>
      </c>
      <c r="D16" s="23">
        <f>B16*C16</f>
        <v>1300</v>
      </c>
    </row>
    <row r="17" spans="1:4" s="19" customFormat="1" x14ac:dyDescent="0.25">
      <c r="A17" s="25" t="s">
        <v>123</v>
      </c>
      <c r="B17" s="40">
        <v>1</v>
      </c>
      <c r="C17" s="20">
        <v>150</v>
      </c>
      <c r="D17" s="20">
        <f>B17*C17</f>
        <v>150</v>
      </c>
    </row>
    <row r="18" spans="1:4" s="19" customFormat="1" x14ac:dyDescent="0.25">
      <c r="A18" s="25" t="s">
        <v>124</v>
      </c>
      <c r="B18" s="40">
        <v>1</v>
      </c>
      <c r="C18" s="20">
        <v>650</v>
      </c>
      <c r="D18" s="23">
        <f>B18*C18</f>
        <v>650</v>
      </c>
    </row>
    <row r="19" spans="1:4" s="19" customFormat="1" x14ac:dyDescent="0.25">
      <c r="A19" s="33" t="s">
        <v>119</v>
      </c>
      <c r="B19" s="31"/>
      <c r="C19" s="32">
        <f>SUM(C15:C18)</f>
        <v>2400</v>
      </c>
      <c r="D19" s="41">
        <v>0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C6" sqref="C6"/>
    </sheetView>
  </sheetViews>
  <sheetFormatPr defaultRowHeight="15" x14ac:dyDescent="0.25"/>
  <cols>
    <col min="1" max="1" width="32.42578125" customWidth="1"/>
    <col min="2" max="2" width="11.42578125" customWidth="1"/>
    <col min="3" max="3" width="11.5703125" customWidth="1"/>
    <col min="4" max="4" width="13.85546875" customWidth="1"/>
  </cols>
  <sheetData>
    <row r="1" spans="1:4" ht="19.5" x14ac:dyDescent="0.25">
      <c r="A1" s="248" t="s">
        <v>141</v>
      </c>
      <c r="B1" s="248"/>
      <c r="C1" s="248"/>
      <c r="D1" s="248"/>
    </row>
    <row r="2" spans="1:4" s="19" customFormat="1" ht="30" x14ac:dyDescent="0.25">
      <c r="A2" s="30" t="s">
        <v>142</v>
      </c>
      <c r="B2" s="31" t="s">
        <v>116</v>
      </c>
      <c r="C2" s="32" t="s">
        <v>117</v>
      </c>
      <c r="D2" s="32" t="s">
        <v>118</v>
      </c>
    </row>
    <row r="3" spans="1:4" s="19" customFormat="1" ht="45" x14ac:dyDescent="0.25">
      <c r="A3" s="24" t="s">
        <v>143</v>
      </c>
      <c r="B3" s="40">
        <v>2</v>
      </c>
      <c r="C3" s="40">
        <v>2500</v>
      </c>
      <c r="D3" s="20">
        <f>B3*C3</f>
        <v>5000</v>
      </c>
    </row>
    <row r="4" spans="1:4" s="19" customFormat="1" ht="45" x14ac:dyDescent="0.25">
      <c r="A4" s="24" t="s">
        <v>144</v>
      </c>
      <c r="B4" s="20">
        <v>2</v>
      </c>
      <c r="C4" s="20">
        <v>2500</v>
      </c>
      <c r="D4" s="20">
        <f t="shared" ref="D4:D6" si="0">B4*C4</f>
        <v>5000</v>
      </c>
    </row>
    <row r="5" spans="1:4" s="19" customFormat="1" x14ac:dyDescent="0.25">
      <c r="A5" s="24" t="s">
        <v>282</v>
      </c>
      <c r="B5" s="20">
        <v>8</v>
      </c>
      <c r="C5" s="20">
        <v>1800</v>
      </c>
      <c r="D5" s="20">
        <f t="shared" si="0"/>
        <v>14400</v>
      </c>
    </row>
    <row r="6" spans="1:4" s="19" customFormat="1" ht="60" x14ac:dyDescent="0.25">
      <c r="A6" s="24" t="s">
        <v>145</v>
      </c>
      <c r="B6" s="40">
        <v>1</v>
      </c>
      <c r="C6" s="40">
        <v>14000</v>
      </c>
      <c r="D6" s="20">
        <f t="shared" si="0"/>
        <v>14000</v>
      </c>
    </row>
    <row r="7" spans="1:4" s="19" customFormat="1" x14ac:dyDescent="0.25">
      <c r="A7" s="25" t="s">
        <v>135</v>
      </c>
      <c r="B7" s="40">
        <v>50</v>
      </c>
      <c r="C7" s="40">
        <v>115</v>
      </c>
      <c r="D7" s="20">
        <f>B7*C7</f>
        <v>5750</v>
      </c>
    </row>
    <row r="8" spans="1:4" s="19" customFormat="1" x14ac:dyDescent="0.25">
      <c r="A8" s="25" t="s">
        <v>171</v>
      </c>
      <c r="B8" s="40">
        <v>15</v>
      </c>
      <c r="C8" s="40">
        <v>350</v>
      </c>
      <c r="D8" s="20">
        <f>B8*C8</f>
        <v>5250</v>
      </c>
    </row>
    <row r="9" spans="1:4" s="19" customFormat="1" x14ac:dyDescent="0.25">
      <c r="A9" s="25" t="s">
        <v>244</v>
      </c>
      <c r="B9" s="34"/>
      <c r="C9" s="40">
        <v>3500</v>
      </c>
      <c r="D9" s="20">
        <f>C9*12</f>
        <v>42000</v>
      </c>
    </row>
    <row r="10" spans="1:4" s="19" customFormat="1" x14ac:dyDescent="0.25">
      <c r="A10" s="33" t="s">
        <v>119</v>
      </c>
      <c r="B10" s="36"/>
      <c r="C10" s="32"/>
      <c r="D10" s="32">
        <f>SUM(D3:D9)</f>
        <v>91400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B14" sqref="B14"/>
    </sheetView>
  </sheetViews>
  <sheetFormatPr defaultRowHeight="15" x14ac:dyDescent="0.25"/>
  <cols>
    <col min="1" max="1" width="29.140625" customWidth="1"/>
    <col min="2" max="2" width="11.42578125" customWidth="1"/>
    <col min="4" max="4" width="10.85546875" customWidth="1"/>
    <col min="5" max="5" width="23" customWidth="1"/>
  </cols>
  <sheetData>
    <row r="1" spans="1:7" ht="38.25" customHeight="1" x14ac:dyDescent="0.25">
      <c r="A1" s="248" t="s">
        <v>172</v>
      </c>
      <c r="B1" s="248"/>
      <c r="C1" s="248"/>
      <c r="D1" s="248"/>
    </row>
    <row r="2" spans="1:7" s="19" customFormat="1" ht="30" x14ac:dyDescent="0.25">
      <c r="A2" s="30" t="s">
        <v>115</v>
      </c>
      <c r="B2" s="31" t="s">
        <v>116</v>
      </c>
      <c r="C2" s="32" t="s">
        <v>117</v>
      </c>
      <c r="D2" s="32" t="s">
        <v>118</v>
      </c>
      <c r="E2" s="32" t="s">
        <v>285</v>
      </c>
    </row>
    <row r="3" spans="1:7" s="19" customFormat="1" x14ac:dyDescent="0.25">
      <c r="A3" s="24" t="s">
        <v>132</v>
      </c>
      <c r="B3" s="34">
        <v>5</v>
      </c>
      <c r="C3" s="34">
        <v>250</v>
      </c>
      <c r="D3" s="35">
        <f>B3*C3</f>
        <v>1250</v>
      </c>
      <c r="E3" s="249" t="s">
        <v>286</v>
      </c>
    </row>
    <row r="4" spans="1:7" s="19" customFormat="1" x14ac:dyDescent="0.25">
      <c r="A4" s="24" t="s">
        <v>133</v>
      </c>
      <c r="B4" s="34">
        <v>5</v>
      </c>
      <c r="C4" s="34">
        <v>320</v>
      </c>
      <c r="D4" s="35">
        <f t="shared" ref="D4:D9" si="0">B4*C4</f>
        <v>1600</v>
      </c>
      <c r="E4" s="249"/>
    </row>
    <row r="5" spans="1:7" s="19" customFormat="1" x14ac:dyDescent="0.25">
      <c r="A5" s="24" t="s">
        <v>270</v>
      </c>
      <c r="B5" s="34">
        <v>5</v>
      </c>
      <c r="C5" s="34">
        <v>375</v>
      </c>
      <c r="D5" s="35">
        <f t="shared" ref="D5" si="1">B5*C5</f>
        <v>1875</v>
      </c>
      <c r="E5" s="249"/>
    </row>
    <row r="6" spans="1:7" s="19" customFormat="1" x14ac:dyDescent="0.25">
      <c r="A6" s="24" t="s">
        <v>271</v>
      </c>
      <c r="B6" s="34">
        <v>2</v>
      </c>
      <c r="C6" s="34">
        <v>600</v>
      </c>
      <c r="D6" s="35">
        <f t="shared" ref="D6:D8" si="2">B6*C6</f>
        <v>1200</v>
      </c>
      <c r="E6" s="249"/>
    </row>
    <row r="7" spans="1:7" s="19" customFormat="1" x14ac:dyDescent="0.25">
      <c r="A7" s="24" t="s">
        <v>272</v>
      </c>
      <c r="B7" s="34">
        <v>2</v>
      </c>
      <c r="C7" s="34">
        <v>1750</v>
      </c>
      <c r="D7" s="35">
        <f t="shared" si="2"/>
        <v>3500</v>
      </c>
      <c r="E7" s="249"/>
    </row>
    <row r="8" spans="1:7" s="19" customFormat="1" x14ac:dyDescent="0.25">
      <c r="A8" t="s">
        <v>302</v>
      </c>
      <c r="B8" s="34">
        <v>1</v>
      </c>
      <c r="C8" s="34">
        <v>1000</v>
      </c>
      <c r="D8" s="35">
        <f t="shared" si="2"/>
        <v>1000</v>
      </c>
      <c r="E8" s="249"/>
      <c r="G8"/>
    </row>
    <row r="9" spans="1:7" s="19" customFormat="1" x14ac:dyDescent="0.25">
      <c r="A9" s="24" t="s">
        <v>283</v>
      </c>
      <c r="B9" s="34">
        <v>2</v>
      </c>
      <c r="C9" s="34">
        <v>2500</v>
      </c>
      <c r="D9" s="35">
        <f t="shared" si="0"/>
        <v>5000</v>
      </c>
      <c r="E9" s="249"/>
    </row>
    <row r="10" spans="1:7" s="19" customFormat="1" x14ac:dyDescent="0.25">
      <c r="A10" s="24" t="s">
        <v>273</v>
      </c>
      <c r="B10" s="34"/>
      <c r="C10" s="34">
        <v>1000</v>
      </c>
      <c r="D10" s="35">
        <f>C10</f>
        <v>1000</v>
      </c>
      <c r="E10" s="249"/>
    </row>
    <row r="11" spans="1:7" s="19" customFormat="1" x14ac:dyDescent="0.25">
      <c r="A11" s="24" t="s">
        <v>274</v>
      </c>
      <c r="B11" s="34"/>
      <c r="C11" s="34">
        <v>1500</v>
      </c>
      <c r="D11" s="35">
        <f>C11</f>
        <v>1500</v>
      </c>
      <c r="E11" s="249"/>
    </row>
    <row r="12" spans="1:7" s="19" customFormat="1" x14ac:dyDescent="0.25">
      <c r="A12" s="24" t="s">
        <v>275</v>
      </c>
      <c r="B12" s="34"/>
      <c r="C12" s="34">
        <v>300</v>
      </c>
      <c r="D12" s="35">
        <f>C12</f>
        <v>300</v>
      </c>
      <c r="E12" s="249"/>
    </row>
    <row r="13" spans="1:7" s="19" customFormat="1" x14ac:dyDescent="0.25">
      <c r="A13" s="24" t="s">
        <v>276</v>
      </c>
      <c r="B13" s="34">
        <v>2</v>
      </c>
      <c r="C13" s="34">
        <v>1000</v>
      </c>
      <c r="D13" s="35">
        <f>B13*C13</f>
        <v>2000</v>
      </c>
      <c r="E13" s="249"/>
    </row>
    <row r="14" spans="1:7" s="19" customFormat="1" x14ac:dyDescent="0.25">
      <c r="A14" s="24" t="s">
        <v>277</v>
      </c>
      <c r="B14" s="34"/>
      <c r="C14" s="34">
        <v>2000</v>
      </c>
      <c r="D14" s="35">
        <f>C14</f>
        <v>2000</v>
      </c>
      <c r="E14" s="249"/>
    </row>
    <row r="15" spans="1:7" s="19" customFormat="1" x14ac:dyDescent="0.25">
      <c r="A15" s="24" t="s">
        <v>278</v>
      </c>
      <c r="B15" s="34"/>
      <c r="C15" s="34">
        <v>2000</v>
      </c>
      <c r="D15" s="35">
        <f>C15</f>
        <v>2000</v>
      </c>
      <c r="E15" s="249"/>
    </row>
    <row r="16" spans="1:7" s="19" customFormat="1" x14ac:dyDescent="0.25">
      <c r="A16" s="25" t="s">
        <v>134</v>
      </c>
      <c r="B16" s="34"/>
      <c r="C16" s="34">
        <v>3000</v>
      </c>
      <c r="D16" s="35">
        <v>3000</v>
      </c>
      <c r="E16" s="249"/>
    </row>
    <row r="17" spans="1:5" s="19" customFormat="1" x14ac:dyDescent="0.25">
      <c r="A17" s="25" t="s">
        <v>135</v>
      </c>
      <c r="B17" s="34">
        <v>10</v>
      </c>
      <c r="C17" s="34">
        <v>115</v>
      </c>
      <c r="D17" s="35">
        <f>B17*C17</f>
        <v>1150</v>
      </c>
      <c r="E17" s="25"/>
    </row>
    <row r="18" spans="1:5" s="19" customFormat="1" x14ac:dyDescent="0.25">
      <c r="A18" s="25" t="s">
        <v>171</v>
      </c>
      <c r="B18" s="34">
        <v>2</v>
      </c>
      <c r="C18" s="34">
        <v>350</v>
      </c>
      <c r="D18" s="35">
        <f>B18*C18</f>
        <v>700</v>
      </c>
      <c r="E18" s="25"/>
    </row>
    <row r="19" spans="1:5" s="19" customFormat="1" x14ac:dyDescent="0.25">
      <c r="A19" s="25" t="s">
        <v>284</v>
      </c>
      <c r="B19" s="34"/>
      <c r="C19" s="34"/>
      <c r="D19" s="35">
        <v>4000</v>
      </c>
      <c r="E19" s="25"/>
    </row>
    <row r="20" spans="1:5" s="19" customFormat="1" x14ac:dyDescent="0.25">
      <c r="A20" s="33" t="s">
        <v>119</v>
      </c>
      <c r="B20" s="36"/>
      <c r="C20" s="37"/>
      <c r="D20" s="37">
        <f>SUM(D3:D19)</f>
        <v>33075</v>
      </c>
      <c r="E20" s="25"/>
    </row>
    <row r="21" spans="1:5" s="19" customFormat="1" x14ac:dyDescent="0.25">
      <c r="A21" s="25"/>
      <c r="B21" s="34"/>
      <c r="C21" s="35"/>
      <c r="D21" s="35"/>
    </row>
    <row r="22" spans="1:5" s="19" customFormat="1" x14ac:dyDescent="0.25">
      <c r="A22" s="33" t="s">
        <v>120</v>
      </c>
      <c r="B22" s="34"/>
      <c r="C22" s="35"/>
      <c r="D22" s="35"/>
    </row>
    <row r="23" spans="1:5" s="19" customFormat="1" x14ac:dyDescent="0.25">
      <c r="A23" s="25" t="s">
        <v>121</v>
      </c>
      <c r="B23" s="34">
        <v>1</v>
      </c>
      <c r="C23" s="35">
        <v>300</v>
      </c>
      <c r="D23" s="35">
        <f>B23*C23</f>
        <v>300</v>
      </c>
    </row>
    <row r="24" spans="1:5" s="19" customFormat="1" x14ac:dyDescent="0.25">
      <c r="A24" s="25" t="s">
        <v>122</v>
      </c>
      <c r="B24" s="34">
        <v>1</v>
      </c>
      <c r="C24" s="35">
        <v>1300</v>
      </c>
      <c r="D24" s="38">
        <f>B24*C24</f>
        <v>1300</v>
      </c>
    </row>
    <row r="25" spans="1:5" s="19" customFormat="1" x14ac:dyDescent="0.25">
      <c r="A25" s="25" t="s">
        <v>123</v>
      </c>
      <c r="B25" s="34">
        <v>1</v>
      </c>
      <c r="C25" s="35">
        <v>150</v>
      </c>
      <c r="D25" s="35">
        <f>B25*C25</f>
        <v>150</v>
      </c>
    </row>
    <row r="26" spans="1:5" s="19" customFormat="1" x14ac:dyDescent="0.25">
      <c r="A26" s="25" t="s">
        <v>124</v>
      </c>
      <c r="B26" s="34">
        <v>1</v>
      </c>
      <c r="C26" s="35">
        <v>650</v>
      </c>
      <c r="D26" s="38">
        <f>B26*C26</f>
        <v>650</v>
      </c>
    </row>
    <row r="27" spans="1:5" s="19" customFormat="1" x14ac:dyDescent="0.25">
      <c r="A27" s="33" t="s">
        <v>119</v>
      </c>
      <c r="B27" s="36"/>
      <c r="C27" s="37">
        <f>SUM(C23:C26)</f>
        <v>2400</v>
      </c>
      <c r="D27" s="39">
        <v>0</v>
      </c>
    </row>
  </sheetData>
  <mergeCells count="2">
    <mergeCell ref="A1:D1"/>
    <mergeCell ref="E3:E1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4"/>
  <sheetViews>
    <sheetView workbookViewId="0">
      <selection activeCell="O12" sqref="O12"/>
    </sheetView>
  </sheetViews>
  <sheetFormatPr defaultRowHeight="15" x14ac:dyDescent="0.25"/>
  <cols>
    <col min="1" max="1" width="20.42578125" style="19" customWidth="1"/>
    <col min="2" max="2" width="5.140625" style="19" customWidth="1"/>
    <col min="3" max="3" width="9.140625" style="19"/>
    <col min="4" max="4" width="11.140625" style="19" customWidth="1"/>
    <col min="5" max="5" width="13.7109375" style="19" customWidth="1"/>
    <col min="6" max="7" width="14.140625" style="22" customWidth="1"/>
    <col min="8" max="9" width="10.7109375" style="22" customWidth="1"/>
    <col min="10" max="10" width="15.85546875" style="82" customWidth="1"/>
    <col min="11" max="11" width="9.140625" style="22"/>
    <col min="12" max="42" width="9.140625" style="66"/>
    <col min="43" max="16384" width="9.140625" style="19"/>
  </cols>
  <sheetData>
    <row r="1" spans="1:17" x14ac:dyDescent="0.25">
      <c r="H1" s="283" t="s">
        <v>0</v>
      </c>
      <c r="I1" s="283"/>
      <c r="J1" s="283"/>
      <c r="K1" s="283"/>
      <c r="L1" s="65"/>
      <c r="Q1" s="65"/>
    </row>
    <row r="2" spans="1:17" x14ac:dyDescent="0.25">
      <c r="G2" s="284" t="s">
        <v>1</v>
      </c>
      <c r="H2" s="284"/>
      <c r="I2" s="284"/>
      <c r="J2" s="284"/>
      <c r="K2" s="284"/>
      <c r="L2" s="67"/>
      <c r="Q2" s="67"/>
    </row>
    <row r="3" spans="1:17" ht="15.75" x14ac:dyDescent="0.25">
      <c r="A3" s="277" t="s">
        <v>2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68"/>
      <c r="M3" s="68"/>
      <c r="N3" s="68"/>
      <c r="O3" s="68"/>
      <c r="P3" s="68"/>
    </row>
    <row r="4" spans="1:17" x14ac:dyDescent="0.25">
      <c r="F4" s="285" t="s">
        <v>77</v>
      </c>
      <c r="G4" s="285"/>
      <c r="H4" s="285"/>
      <c r="I4" s="285"/>
      <c r="J4" s="285"/>
      <c r="K4" s="285"/>
      <c r="L4" s="67"/>
      <c r="M4" s="67"/>
      <c r="N4" s="67"/>
      <c r="O4" s="67"/>
      <c r="P4" s="67"/>
    </row>
    <row r="5" spans="1:17" ht="30.75" customHeight="1" x14ac:dyDescent="0.25">
      <c r="A5" s="242" t="s">
        <v>3</v>
      </c>
      <c r="B5" s="242"/>
      <c r="C5" s="242" t="s">
        <v>6</v>
      </c>
      <c r="D5" s="242"/>
      <c r="E5" s="242" t="s">
        <v>7</v>
      </c>
      <c r="F5" s="242" t="s">
        <v>8</v>
      </c>
      <c r="G5" s="242" t="s">
        <v>9</v>
      </c>
      <c r="H5" s="242"/>
      <c r="I5" s="274" t="s">
        <v>173</v>
      </c>
      <c r="J5" s="286" t="s">
        <v>27</v>
      </c>
      <c r="K5" s="242" t="s">
        <v>11</v>
      </c>
    </row>
    <row r="6" spans="1:17" ht="51.75" customHeight="1" x14ac:dyDescent="0.25">
      <c r="A6" s="42" t="s">
        <v>4</v>
      </c>
      <c r="B6" s="42" t="s">
        <v>5</v>
      </c>
      <c r="C6" s="242"/>
      <c r="D6" s="242"/>
      <c r="E6" s="242"/>
      <c r="F6" s="242"/>
      <c r="G6" s="43" t="s">
        <v>23</v>
      </c>
      <c r="H6" s="43" t="s">
        <v>10</v>
      </c>
      <c r="I6" s="275"/>
      <c r="J6" s="287"/>
      <c r="K6" s="242"/>
    </row>
    <row r="7" spans="1:17" ht="15.75" x14ac:dyDescent="0.25">
      <c r="A7" s="63" t="s">
        <v>12</v>
      </c>
      <c r="B7" s="64" t="s">
        <v>14</v>
      </c>
      <c r="C7" s="250" t="s">
        <v>13</v>
      </c>
      <c r="D7" s="251"/>
      <c r="E7" s="44">
        <v>1</v>
      </c>
      <c r="F7" s="44">
        <v>40000</v>
      </c>
      <c r="G7" s="44">
        <v>0</v>
      </c>
      <c r="H7" s="44">
        <v>0</v>
      </c>
      <c r="I7" s="69">
        <f>SUM(F7:H7)</f>
        <v>40000</v>
      </c>
      <c r="J7" s="70">
        <f t="shared" ref="J7:J15" si="0">I7*0.15</f>
        <v>6000</v>
      </c>
      <c r="K7" s="44">
        <f t="shared" ref="K7:K15" si="1">I7+J7</f>
        <v>46000</v>
      </c>
    </row>
    <row r="8" spans="1:17" ht="15.75" x14ac:dyDescent="0.25">
      <c r="A8" s="280" t="s">
        <v>15</v>
      </c>
      <c r="B8" s="282" t="s">
        <v>18</v>
      </c>
      <c r="C8" s="250" t="s">
        <v>16</v>
      </c>
      <c r="D8" s="251"/>
      <c r="E8" s="62">
        <v>1</v>
      </c>
      <c r="F8" s="62">
        <v>20000</v>
      </c>
      <c r="G8" s="62"/>
      <c r="H8" s="62">
        <v>10000</v>
      </c>
      <c r="I8" s="69">
        <f t="shared" ref="I8:I11" si="2">SUM(F8:H8)</f>
        <v>30000</v>
      </c>
      <c r="J8" s="70">
        <f t="shared" si="0"/>
        <v>4500</v>
      </c>
      <c r="K8" s="44">
        <f t="shared" si="1"/>
        <v>34500</v>
      </c>
    </row>
    <row r="9" spans="1:17" ht="15.75" x14ac:dyDescent="0.25">
      <c r="A9" s="281"/>
      <c r="B9" s="279"/>
      <c r="C9" s="250" t="s">
        <v>17</v>
      </c>
      <c r="D9" s="251"/>
      <c r="E9" s="62">
        <v>1</v>
      </c>
      <c r="F9" s="62">
        <v>10000</v>
      </c>
      <c r="G9" s="62"/>
      <c r="H9" s="62">
        <v>0</v>
      </c>
      <c r="I9" s="69">
        <f t="shared" si="2"/>
        <v>10000</v>
      </c>
      <c r="J9" s="70">
        <f t="shared" si="0"/>
        <v>1500</v>
      </c>
      <c r="K9" s="44">
        <f t="shared" si="1"/>
        <v>11500</v>
      </c>
    </row>
    <row r="10" spans="1:17" ht="15.75" customHeight="1" x14ac:dyDescent="0.25">
      <c r="A10" s="274" t="s">
        <v>22</v>
      </c>
      <c r="B10" s="278" t="s">
        <v>20</v>
      </c>
      <c r="C10" s="250" t="s">
        <v>254</v>
      </c>
      <c r="D10" s="251"/>
      <c r="E10" s="62">
        <v>1</v>
      </c>
      <c r="F10" s="62">
        <v>20000</v>
      </c>
      <c r="G10" s="62">
        <v>5000</v>
      </c>
      <c r="H10" s="62"/>
      <c r="I10" s="69">
        <f t="shared" si="2"/>
        <v>25000</v>
      </c>
      <c r="J10" s="70">
        <f t="shared" si="0"/>
        <v>3750</v>
      </c>
      <c r="K10" s="44">
        <f t="shared" si="1"/>
        <v>28750</v>
      </c>
    </row>
    <row r="11" spans="1:17" ht="15.75" x14ac:dyDescent="0.25">
      <c r="A11" s="275"/>
      <c r="B11" s="278"/>
      <c r="C11" s="250" t="s">
        <v>19</v>
      </c>
      <c r="D11" s="251"/>
      <c r="E11" s="62">
        <v>1</v>
      </c>
      <c r="F11" s="62">
        <v>15000</v>
      </c>
      <c r="G11" s="62">
        <v>2000</v>
      </c>
      <c r="H11" s="62"/>
      <c r="I11" s="69">
        <f t="shared" si="2"/>
        <v>17000</v>
      </c>
      <c r="J11" s="70">
        <f t="shared" si="0"/>
        <v>2550</v>
      </c>
      <c r="K11" s="44">
        <f t="shared" si="1"/>
        <v>19550</v>
      </c>
    </row>
    <row r="12" spans="1:17" ht="31.5" x14ac:dyDescent="0.25">
      <c r="A12" s="275"/>
      <c r="B12" s="278"/>
      <c r="C12" s="250" t="s">
        <v>37</v>
      </c>
      <c r="D12" s="251"/>
      <c r="E12" s="62" t="s">
        <v>76</v>
      </c>
      <c r="F12" s="62">
        <v>8000</v>
      </c>
      <c r="G12" s="62"/>
      <c r="H12" s="62"/>
      <c r="I12" s="69">
        <f>F12+G12+H12</f>
        <v>8000</v>
      </c>
      <c r="J12" s="124">
        <f t="shared" si="0"/>
        <v>1200</v>
      </c>
      <c r="K12" s="44">
        <f t="shared" si="1"/>
        <v>9200</v>
      </c>
    </row>
    <row r="13" spans="1:17" ht="15.75" x14ac:dyDescent="0.25">
      <c r="A13" s="275"/>
      <c r="B13" s="278"/>
      <c r="C13" s="250" t="s">
        <v>75</v>
      </c>
      <c r="D13" s="251"/>
      <c r="E13" s="62">
        <v>1</v>
      </c>
      <c r="F13" s="62">
        <v>15000</v>
      </c>
      <c r="G13" s="62">
        <v>8750</v>
      </c>
      <c r="H13" s="62"/>
      <c r="I13" s="69">
        <f>F13+G13+H13</f>
        <v>23750</v>
      </c>
      <c r="J13" s="70">
        <f t="shared" si="0"/>
        <v>3562.5</v>
      </c>
      <c r="K13" s="44">
        <f t="shared" si="1"/>
        <v>27312.5</v>
      </c>
    </row>
    <row r="14" spans="1:17" ht="15.75" x14ac:dyDescent="0.25">
      <c r="A14" s="275"/>
      <c r="B14" s="279"/>
      <c r="C14" s="250" t="s">
        <v>21</v>
      </c>
      <c r="D14" s="251"/>
      <c r="E14" s="62">
        <v>3</v>
      </c>
      <c r="F14" s="62">
        <v>20000</v>
      </c>
      <c r="G14" s="62">
        <v>7000</v>
      </c>
      <c r="H14" s="62"/>
      <c r="I14" s="69">
        <f>(F14+G14+H14)*3</f>
        <v>81000</v>
      </c>
      <c r="J14" s="70">
        <f t="shared" si="0"/>
        <v>12150</v>
      </c>
      <c r="K14" s="44">
        <f t="shared" si="1"/>
        <v>93150</v>
      </c>
    </row>
    <row r="15" spans="1:17" ht="31.5" x14ac:dyDescent="0.25">
      <c r="A15" s="276"/>
      <c r="B15" s="98" t="s">
        <v>249</v>
      </c>
      <c r="C15" s="250" t="s">
        <v>248</v>
      </c>
      <c r="D15" s="251"/>
      <c r="E15" s="123" t="s">
        <v>76</v>
      </c>
      <c r="F15" s="95">
        <v>5000</v>
      </c>
      <c r="G15" s="95"/>
      <c r="H15" s="95"/>
      <c r="I15" s="69">
        <f>F15+G15+H15</f>
        <v>5000</v>
      </c>
      <c r="J15" s="124">
        <f t="shared" si="0"/>
        <v>750</v>
      </c>
      <c r="K15" s="44">
        <f t="shared" si="1"/>
        <v>5750</v>
      </c>
    </row>
    <row r="16" spans="1:17" ht="15.75" x14ac:dyDescent="0.25">
      <c r="A16" s="80"/>
      <c r="B16" s="99"/>
      <c r="C16" s="80"/>
      <c r="D16" s="80"/>
      <c r="E16" s="97"/>
      <c r="F16" s="97"/>
      <c r="G16" s="97"/>
      <c r="H16" s="97"/>
      <c r="I16" s="100"/>
      <c r="J16" s="96"/>
      <c r="K16" s="97"/>
    </row>
    <row r="17" spans="1:42" x14ac:dyDescent="0.25">
      <c r="G17" s="261" t="s">
        <v>26</v>
      </c>
      <c r="H17" s="261"/>
      <c r="I17" s="61"/>
      <c r="J17" s="71"/>
      <c r="K17" s="47">
        <f>SUM(K7:K16)</f>
        <v>275712.5</v>
      </c>
    </row>
    <row r="18" spans="1:42" s="72" customFormat="1" x14ac:dyDescent="0.25">
      <c r="F18" s="73"/>
      <c r="G18" s="74"/>
      <c r="H18" s="74"/>
      <c r="I18" s="74"/>
      <c r="J18" s="75"/>
      <c r="K18" s="7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</row>
    <row r="19" spans="1:42" ht="15.75" x14ac:dyDescent="0.25">
      <c r="A19" s="277" t="s">
        <v>24</v>
      </c>
      <c r="B19" s="277"/>
      <c r="C19" s="277"/>
      <c r="D19" s="277"/>
      <c r="E19" s="277"/>
      <c r="F19" s="277"/>
      <c r="G19" s="277"/>
      <c r="H19" s="277"/>
      <c r="I19" s="277"/>
      <c r="J19" s="277"/>
      <c r="K19" s="277"/>
    </row>
    <row r="20" spans="1:42" ht="15.75" x14ac:dyDescent="0.25">
      <c r="A20" s="242" t="s">
        <v>28</v>
      </c>
      <c r="B20" s="242"/>
      <c r="C20" s="242" t="s">
        <v>25</v>
      </c>
      <c r="D20" s="242"/>
      <c r="E20" s="242"/>
      <c r="F20" s="242"/>
      <c r="G20" s="242"/>
      <c r="H20" s="242"/>
      <c r="I20" s="242"/>
      <c r="J20" s="242"/>
      <c r="K20" s="242"/>
    </row>
    <row r="21" spans="1:42" ht="40.5" customHeight="1" x14ac:dyDescent="0.25">
      <c r="A21" s="242"/>
      <c r="B21" s="242"/>
      <c r="C21" s="242" t="s">
        <v>29</v>
      </c>
      <c r="D21" s="242"/>
      <c r="E21" s="242"/>
      <c r="F21" s="242" t="s">
        <v>174</v>
      </c>
      <c r="G21" s="242"/>
      <c r="H21" s="250" t="s">
        <v>175</v>
      </c>
      <c r="I21" s="251"/>
      <c r="J21" s="242" t="s">
        <v>30</v>
      </c>
      <c r="K21" s="242"/>
    </row>
    <row r="22" spans="1:42" ht="15.75" customHeight="1" x14ac:dyDescent="0.25">
      <c r="A22" s="242" t="s">
        <v>31</v>
      </c>
      <c r="B22" s="242"/>
      <c r="C22" s="260">
        <f>K17*12+C24</f>
        <v>3523312.5</v>
      </c>
      <c r="D22" s="260"/>
      <c r="E22" s="260"/>
      <c r="F22" s="260">
        <f>C22*0.2</f>
        <v>704662.5</v>
      </c>
      <c r="G22" s="260"/>
      <c r="H22" s="265">
        <f>C22*0.9/100</f>
        <v>31709.8125</v>
      </c>
      <c r="I22" s="266"/>
      <c r="J22" s="269">
        <f>C22+F22+H22</f>
        <v>4259684.8125</v>
      </c>
      <c r="K22" s="269"/>
    </row>
    <row r="23" spans="1:42" ht="15.75" customHeight="1" x14ac:dyDescent="0.25">
      <c r="A23" s="242"/>
      <c r="B23" s="242"/>
      <c r="C23" s="260"/>
      <c r="D23" s="260"/>
      <c r="E23" s="260"/>
      <c r="F23" s="260"/>
      <c r="G23" s="260"/>
      <c r="H23" s="267"/>
      <c r="I23" s="268"/>
      <c r="J23" s="269"/>
      <c r="K23" s="269"/>
    </row>
    <row r="24" spans="1:42" ht="15.75" customHeight="1" x14ac:dyDescent="0.25">
      <c r="A24" s="250" t="s">
        <v>250</v>
      </c>
      <c r="B24" s="251"/>
      <c r="C24" s="252">
        <f>(K8+K9+K10+K11+K13+K14)</f>
        <v>214762.5</v>
      </c>
      <c r="D24" s="253"/>
      <c r="E24" s="254"/>
      <c r="F24" s="252"/>
      <c r="G24" s="254"/>
      <c r="H24" s="252"/>
      <c r="I24" s="254"/>
      <c r="J24" s="255"/>
      <c r="K24" s="256"/>
    </row>
    <row r="25" spans="1:42" ht="15.75" x14ac:dyDescent="0.25">
      <c r="A25" s="270" t="s">
        <v>251</v>
      </c>
      <c r="B25" s="271"/>
      <c r="C25" s="252">
        <f>K17</f>
        <v>275712.5</v>
      </c>
      <c r="D25" s="253"/>
      <c r="E25" s="254"/>
      <c r="F25" s="252">
        <f>F22/12</f>
        <v>58721.875</v>
      </c>
      <c r="G25" s="254"/>
      <c r="H25" s="252">
        <f>H22/12</f>
        <v>2642.484375</v>
      </c>
      <c r="I25" s="254"/>
      <c r="J25" s="272">
        <f>J22/12</f>
        <v>354973.734375</v>
      </c>
      <c r="K25" s="273"/>
    </row>
    <row r="26" spans="1:42" ht="15.75" x14ac:dyDescent="0.25">
      <c r="A26" s="59"/>
      <c r="B26" s="59"/>
      <c r="C26" s="46"/>
      <c r="D26" s="46"/>
      <c r="E26" s="46"/>
      <c r="F26" s="46"/>
      <c r="G26" s="46"/>
      <c r="H26" s="46"/>
      <c r="I26" s="46"/>
      <c r="J26" s="71"/>
      <c r="K26" s="61"/>
    </row>
    <row r="27" spans="1:42" ht="15.75" x14ac:dyDescent="0.25">
      <c r="A27" s="77"/>
      <c r="B27" s="77"/>
      <c r="C27" s="78"/>
      <c r="D27" s="78"/>
      <c r="E27" s="78"/>
      <c r="F27" s="78"/>
      <c r="G27" s="78"/>
      <c r="H27" s="78"/>
      <c r="I27" s="78"/>
      <c r="J27" s="75"/>
      <c r="K27" s="74"/>
    </row>
    <row r="28" spans="1:42" ht="15.75" customHeight="1" x14ac:dyDescent="0.25">
      <c r="A28" s="261" t="s">
        <v>74</v>
      </c>
      <c r="B28" s="261"/>
      <c r="C28" s="261"/>
      <c r="D28" s="261"/>
      <c r="E28" s="261"/>
      <c r="F28" s="261"/>
      <c r="G28" s="261"/>
      <c r="H28" s="261"/>
      <c r="I28" s="261"/>
      <c r="J28" s="261"/>
      <c r="K28" s="261"/>
    </row>
    <row r="29" spans="1:42" ht="15" customHeight="1" x14ac:dyDescent="0.25">
      <c r="A29" s="262"/>
      <c r="B29" s="262"/>
      <c r="C29" s="262"/>
      <c r="D29" s="262"/>
      <c r="E29" s="262"/>
      <c r="F29" s="262"/>
      <c r="G29" s="262"/>
      <c r="H29" s="262"/>
      <c r="I29" s="262"/>
      <c r="J29" s="261"/>
      <c r="K29" s="261"/>
    </row>
    <row r="30" spans="1:42" ht="31.5" x14ac:dyDescent="0.25">
      <c r="A30" s="242" t="s">
        <v>34</v>
      </c>
      <c r="B30" s="242"/>
      <c r="C30" s="242"/>
      <c r="D30" s="242"/>
      <c r="E30" s="242" t="s">
        <v>36</v>
      </c>
      <c r="F30" s="242"/>
      <c r="G30" s="242" t="s">
        <v>35</v>
      </c>
      <c r="H30" s="242"/>
      <c r="I30" s="60" t="s">
        <v>176</v>
      </c>
      <c r="J30" s="79"/>
      <c r="K30" s="80"/>
    </row>
    <row r="31" spans="1:42" ht="15.75" x14ac:dyDescent="0.25">
      <c r="A31" s="259" t="s">
        <v>32</v>
      </c>
      <c r="B31" s="259"/>
      <c r="C31" s="259"/>
      <c r="D31" s="259"/>
      <c r="E31" s="260">
        <v>10000</v>
      </c>
      <c r="F31" s="260"/>
      <c r="G31" s="260">
        <f>E31*12</f>
        <v>120000</v>
      </c>
      <c r="H31" s="260"/>
      <c r="I31" s="62">
        <v>120000</v>
      </c>
      <c r="J31" s="79"/>
      <c r="K31" s="46"/>
    </row>
    <row r="32" spans="1:42" ht="15.75" customHeight="1" x14ac:dyDescent="0.25">
      <c r="A32" s="259" t="s">
        <v>33</v>
      </c>
      <c r="B32" s="259"/>
      <c r="C32" s="259"/>
      <c r="D32" s="259"/>
      <c r="E32" s="260">
        <v>19500</v>
      </c>
      <c r="F32" s="260"/>
      <c r="G32" s="260">
        <f>E32*12</f>
        <v>234000</v>
      </c>
      <c r="H32" s="260"/>
      <c r="I32" s="260">
        <v>234000</v>
      </c>
      <c r="J32" s="263"/>
      <c r="K32" s="264"/>
    </row>
    <row r="33" spans="1:11" ht="15.75" customHeight="1" x14ac:dyDescent="0.25">
      <c r="A33" s="259"/>
      <c r="B33" s="259"/>
      <c r="C33" s="259"/>
      <c r="D33" s="259"/>
      <c r="E33" s="260"/>
      <c r="F33" s="260"/>
      <c r="G33" s="260"/>
      <c r="H33" s="260"/>
      <c r="I33" s="260"/>
      <c r="J33" s="263"/>
      <c r="K33" s="264"/>
    </row>
    <row r="34" spans="1:11" ht="15.75" customHeight="1" x14ac:dyDescent="0.25">
      <c r="A34" s="257" t="s">
        <v>166</v>
      </c>
      <c r="B34" s="257"/>
      <c r="C34" s="257"/>
      <c r="D34" s="257"/>
      <c r="E34" s="258">
        <f t="shared" ref="E34" si="3">SUM(E31:F33)</f>
        <v>29500</v>
      </c>
      <c r="F34" s="258"/>
      <c r="G34" s="81" t="s">
        <v>167</v>
      </c>
      <c r="H34" s="81"/>
      <c r="I34" s="81">
        <f>SUM(I31:I33)</f>
        <v>354000</v>
      </c>
      <c r="J34" s="81"/>
      <c r="K34" s="48"/>
    </row>
  </sheetData>
  <mergeCells count="63">
    <mergeCell ref="H1:K1"/>
    <mergeCell ref="G2:K2"/>
    <mergeCell ref="A3:K3"/>
    <mergeCell ref="F4:K4"/>
    <mergeCell ref="A5:B5"/>
    <mergeCell ref="C5:D6"/>
    <mergeCell ref="E5:E6"/>
    <mergeCell ref="F5:F6"/>
    <mergeCell ref="G5:H5"/>
    <mergeCell ref="I5:I6"/>
    <mergeCell ref="J5:J6"/>
    <mergeCell ref="K5:K6"/>
    <mergeCell ref="C7:D7"/>
    <mergeCell ref="A8:A9"/>
    <mergeCell ref="B8:B9"/>
    <mergeCell ref="C8:D8"/>
    <mergeCell ref="C9:D9"/>
    <mergeCell ref="A10:A15"/>
    <mergeCell ref="C15:D15"/>
    <mergeCell ref="G17:H17"/>
    <mergeCell ref="A19:K19"/>
    <mergeCell ref="A20:B21"/>
    <mergeCell ref="C20:K20"/>
    <mergeCell ref="C21:E21"/>
    <mergeCell ref="F21:G21"/>
    <mergeCell ref="H21:I21"/>
    <mergeCell ref="J21:K21"/>
    <mergeCell ref="B10:B14"/>
    <mergeCell ref="C10:D10"/>
    <mergeCell ref="C11:D11"/>
    <mergeCell ref="C12:D12"/>
    <mergeCell ref="C13:D13"/>
    <mergeCell ref="C14:D14"/>
    <mergeCell ref="A25:B25"/>
    <mergeCell ref="C25:E25"/>
    <mergeCell ref="F25:G25"/>
    <mergeCell ref="H25:I25"/>
    <mergeCell ref="J25:K25"/>
    <mergeCell ref="A22:B23"/>
    <mergeCell ref="C22:E23"/>
    <mergeCell ref="F22:G23"/>
    <mergeCell ref="H22:I23"/>
    <mergeCell ref="J22:K23"/>
    <mergeCell ref="A28:K29"/>
    <mergeCell ref="A30:D30"/>
    <mergeCell ref="E30:F30"/>
    <mergeCell ref="G30:H30"/>
    <mergeCell ref="I32:I33"/>
    <mergeCell ref="J32:J33"/>
    <mergeCell ref="K32:K33"/>
    <mergeCell ref="A31:D31"/>
    <mergeCell ref="E31:F31"/>
    <mergeCell ref="G31:H31"/>
    <mergeCell ref="A34:D34"/>
    <mergeCell ref="E34:F34"/>
    <mergeCell ref="A32:D33"/>
    <mergeCell ref="E32:F33"/>
    <mergeCell ref="G32:H33"/>
    <mergeCell ref="A24:B24"/>
    <mergeCell ref="C24:E24"/>
    <mergeCell ref="F24:G24"/>
    <mergeCell ref="H24:I24"/>
    <mergeCell ref="J24:K24"/>
  </mergeCells>
  <pageMargins left="0.7" right="0.7" top="0.75" bottom="0.75" header="0.3" footer="0.3"/>
  <pageSetup paperSize="9" scale="76" orientation="landscape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Структура  2016</vt:lpstr>
      <vt:lpstr>Смета Ямская 90</vt:lpstr>
      <vt:lpstr>Смета Ямская 90 с затр.2015</vt:lpstr>
      <vt:lpstr>Благоустройство</vt:lpstr>
      <vt:lpstr>Уборка снега</vt:lpstr>
      <vt:lpstr>Электроснабжение</vt:lpstr>
      <vt:lpstr>Теплоснабжение</vt:lpstr>
      <vt:lpstr>Водоснабжение и канал.</vt:lpstr>
      <vt:lpstr>ФОТ</vt:lpstr>
      <vt:lpstr>Банк</vt:lpstr>
      <vt:lpstr>'Смета Ямская 90 с затр.2015'!Область_печати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Yuriy</cp:lastModifiedBy>
  <cp:lastPrinted>2016-05-06T12:32:36Z</cp:lastPrinted>
  <dcterms:created xsi:type="dcterms:W3CDTF">2016-02-29T17:03:57Z</dcterms:created>
  <dcterms:modified xsi:type="dcterms:W3CDTF">2016-05-23T10:20:14Z</dcterms:modified>
</cp:coreProperties>
</file>