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705" windowWidth="15120" windowHeight="7410"/>
  </bookViews>
  <sheets>
    <sheet name="Ямская 88 на 2019" sheetId="40" r:id="rId1"/>
    <sheet name="Уборка территории" sheetId="14" state="hidden" r:id="rId2"/>
    <sheet name="Уборка снега" sheetId="25" state="hidden" r:id="rId3"/>
    <sheet name="Вывоз мусора" sheetId="26" state="hidden" r:id="rId4"/>
    <sheet name="Благоустройство" sheetId="24" state="hidden" r:id="rId5"/>
    <sheet name="Материалы для технички" sheetId="15" state="hidden" r:id="rId6"/>
    <sheet name="Материалы для утепления дома" sheetId="16" state="hidden" r:id="rId7"/>
    <sheet name="Материалы для электрика" sheetId="17" state="hidden" r:id="rId8"/>
    <sheet name="Материалы для сантехника" sheetId="18" state="hidden" r:id="rId9"/>
    <sheet name="Налоги" sheetId="27" state="hidden" r:id="rId10"/>
    <sheet name="Банк" sheetId="28" state="hidden" r:id="rId11"/>
  </sheets>
  <definedNames>
    <definedName name="_xlnm.Print_Area" localSheetId="0">'Ямская 88 на 2019'!$A$1:$G$45</definedName>
  </definedNames>
  <calcPr calcId="145621"/>
</workbook>
</file>

<file path=xl/calcChain.xml><?xml version="1.0" encoding="utf-8"?>
<calcChain xmlns="http://schemas.openxmlformats.org/spreadsheetml/2006/main">
  <c r="D25" i="40" l="1"/>
  <c r="C3" i="40" l="1"/>
  <c r="D40" i="40" l="1"/>
  <c r="D36" i="40"/>
  <c r="E36" i="40" l="1"/>
  <c r="C35" i="40"/>
  <c r="E35" i="40" s="1"/>
  <c r="C40" i="40" l="1"/>
  <c r="C25" i="40" l="1"/>
  <c r="C39" i="40" s="1"/>
  <c r="C6" i="40"/>
  <c r="D6" i="40"/>
  <c r="E6" i="40"/>
  <c r="E11" i="40"/>
  <c r="D11" i="40"/>
  <c r="D5" i="40" s="1"/>
  <c r="C11" i="40"/>
  <c r="E25" i="40" l="1"/>
  <c r="D38" i="40"/>
  <c r="C5" i="40"/>
  <c r="C38" i="40" s="1"/>
  <c r="C41" i="40" s="1"/>
  <c r="E5" i="40"/>
  <c r="D39" i="40"/>
  <c r="C17" i="17" l="1"/>
  <c r="D4" i="16"/>
  <c r="F3" i="26"/>
  <c r="B4" i="14"/>
  <c r="B9" i="14" l="1"/>
  <c r="B17" i="18" l="1"/>
  <c r="M3" i="26" l="1"/>
  <c r="K3" i="26"/>
  <c r="L3" i="26"/>
  <c r="I4" i="28" l="1"/>
  <c r="G3" i="28"/>
  <c r="D4" i="25"/>
  <c r="D3" i="25"/>
  <c r="J3" i="28" l="1"/>
  <c r="D6" i="27" l="1"/>
  <c r="D26" i="18"/>
  <c r="B25" i="18"/>
  <c r="D25" i="18" s="1"/>
  <c r="B26" i="18"/>
  <c r="B24" i="18"/>
  <c r="D24" i="18" s="1"/>
  <c r="B23" i="18"/>
  <c r="D23" i="18" s="1"/>
  <c r="G3" i="26" l="1"/>
  <c r="F4" i="26"/>
  <c r="G4" i="26" l="1"/>
  <c r="G5" i="26" s="1"/>
  <c r="N3" i="26"/>
  <c r="O3" i="26" s="1"/>
  <c r="F5" i="26"/>
  <c r="B9" i="24" l="1"/>
  <c r="C15" i="24"/>
  <c r="E15" i="24" s="1"/>
  <c r="B5" i="24"/>
  <c r="B4" i="24"/>
  <c r="E4" i="24" s="1"/>
  <c r="F4" i="24" s="1"/>
  <c r="H4" i="24" s="1"/>
  <c r="E5" i="24" l="1"/>
  <c r="F5" i="24" s="1"/>
  <c r="H5" i="24" s="1"/>
  <c r="C14" i="24"/>
  <c r="E14" i="24" s="1"/>
  <c r="F14" i="24" s="1"/>
  <c r="E3" i="25"/>
  <c r="G3" i="25" s="1"/>
  <c r="I3" i="25" s="1"/>
  <c r="E4" i="25"/>
  <c r="G4" i="25" s="1"/>
  <c r="I4" i="25" s="1"/>
  <c r="I5" i="25" l="1"/>
  <c r="C3" i="27" l="1"/>
  <c r="E3" i="27" s="1"/>
  <c r="C5" i="27"/>
  <c r="E5" i="27" s="1"/>
  <c r="C4" i="27"/>
  <c r="E4" i="27" s="1"/>
  <c r="E6" i="27" l="1"/>
  <c r="B6" i="15" l="1"/>
  <c r="B4" i="15"/>
  <c r="B6" i="17"/>
  <c r="B22" i="18"/>
  <c r="B21" i="18"/>
  <c r="B16" i="18"/>
  <c r="B9" i="18"/>
  <c r="B6" i="18"/>
  <c r="B5" i="18"/>
  <c r="B4" i="18"/>
  <c r="B3" i="18"/>
  <c r="B10" i="18"/>
  <c r="B6" i="14"/>
  <c r="B5" i="14"/>
  <c r="B3" i="14"/>
  <c r="B39" i="18" l="1"/>
  <c r="D39" i="18" s="1"/>
  <c r="B38" i="18"/>
  <c r="D38" i="18" s="1"/>
  <c r="B37" i="18"/>
  <c r="D37" i="18" s="1"/>
  <c r="D36" i="18"/>
  <c r="B19" i="14"/>
  <c r="D19" i="14" s="1"/>
  <c r="B18" i="14"/>
  <c r="D18" i="14" s="1"/>
  <c r="B17" i="14"/>
  <c r="B20" i="15"/>
  <c r="D20" i="15" s="1"/>
  <c r="B21" i="15"/>
  <c r="D21" i="15" s="1"/>
  <c r="B19" i="15"/>
  <c r="D19" i="15" s="1"/>
  <c r="B16" i="17"/>
  <c r="D16" i="17" s="1"/>
  <c r="B15" i="17"/>
  <c r="D15" i="17" s="1"/>
  <c r="B14" i="17"/>
  <c r="D14" i="17" s="1"/>
  <c r="D4" i="17"/>
  <c r="D5" i="17"/>
  <c r="D6" i="17"/>
  <c r="D7" i="17"/>
  <c r="D32" i="18"/>
  <c r="D31" i="18"/>
  <c r="D30" i="18"/>
  <c r="D22" i="18"/>
  <c r="D21" i="18"/>
  <c r="D20" i="18"/>
  <c r="D19" i="18"/>
  <c r="D18" i="18"/>
  <c r="D17" i="18"/>
  <c r="D16" i="18"/>
  <c r="D15" i="18"/>
  <c r="D14" i="18"/>
  <c r="D13" i="18"/>
  <c r="D12" i="18"/>
  <c r="D11" i="18"/>
  <c r="D10" i="18"/>
  <c r="D9" i="18"/>
  <c r="D8" i="18"/>
  <c r="D7" i="18"/>
  <c r="D6" i="18"/>
  <c r="D5" i="18"/>
  <c r="D4" i="18"/>
  <c r="D3" i="18"/>
  <c r="D13" i="17"/>
  <c r="C10" i="17"/>
  <c r="B8" i="17"/>
  <c r="D9" i="17" s="1"/>
  <c r="D3" i="17"/>
  <c r="C7" i="16"/>
  <c r="D6" i="16"/>
  <c r="D5" i="16"/>
  <c r="D3" i="16"/>
  <c r="D22" i="15"/>
  <c r="D18" i="15"/>
  <c r="D15" i="15"/>
  <c r="D14" i="15"/>
  <c r="D13" i="15"/>
  <c r="D12" i="15"/>
  <c r="D11" i="15"/>
  <c r="D10" i="15"/>
  <c r="D9" i="15"/>
  <c r="D8" i="15"/>
  <c r="D7" i="15"/>
  <c r="D6" i="15"/>
  <c r="D5" i="15"/>
  <c r="D4" i="15"/>
  <c r="D3" i="15"/>
  <c r="D20" i="14"/>
  <c r="D17" i="14"/>
  <c r="D16" i="14"/>
  <c r="B12" i="14"/>
  <c r="D12" i="14" s="1"/>
  <c r="D11" i="14"/>
  <c r="D10" i="14"/>
  <c r="D9" i="14"/>
  <c r="D8" i="14"/>
  <c r="D7" i="14"/>
  <c r="D6" i="14"/>
  <c r="D5" i="14"/>
  <c r="D4" i="14"/>
  <c r="D3" i="14"/>
  <c r="D7" i="16" l="1"/>
  <c r="D21" i="14"/>
  <c r="D23" i="15"/>
  <c r="D8" i="17"/>
  <c r="D33" i="18"/>
  <c r="D16" i="15"/>
  <c r="D13" i="14"/>
  <c r="E9" i="24" l="1"/>
  <c r="F9" i="24" s="1"/>
  <c r="H9" i="24" s="1"/>
  <c r="B10" i="24" l="1"/>
  <c r="E10" i="24" s="1"/>
  <c r="F10" i="24" s="1"/>
  <c r="H10" i="24" s="1"/>
</calcChain>
</file>

<file path=xl/comments1.xml><?xml version="1.0" encoding="utf-8"?>
<comments xmlns="http://schemas.openxmlformats.org/spreadsheetml/2006/main">
  <authors>
    <author>Автор</author>
  </authors>
  <commentList>
    <comment ref="A12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В том числе для субботников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D3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Площадь для уборки снега</t>
        </r>
      </text>
    </comment>
    <comment ref="D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Площадь для уборки снега</t>
        </r>
      </text>
    </comment>
  </commentList>
</comments>
</file>

<file path=xl/comments3.xml><?xml version="1.0" encoding="utf-8"?>
<comments xmlns="http://schemas.openxmlformats.org/spreadsheetml/2006/main">
  <authors>
    <author>Автор</author>
  </authors>
  <commentList>
    <comment ref="B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Общая площадь без искусственного покрытия</t>
        </r>
      </text>
    </comment>
    <comment ref="B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Площадь под цветы</t>
        </r>
      </text>
    </comment>
    <comment ref="B9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Общая площадь детских площадок</t>
        </r>
      </text>
    </comment>
    <comment ref="B10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Выборочная засыпка</t>
        </r>
      </text>
    </comment>
  </commentList>
</comments>
</file>

<file path=xl/sharedStrings.xml><?xml version="1.0" encoding="utf-8"?>
<sst xmlns="http://schemas.openxmlformats.org/spreadsheetml/2006/main" count="282" uniqueCount="209">
  <si>
    <t>Стоимость</t>
  </si>
  <si>
    <t>Итого</t>
  </si>
  <si>
    <t>№ п/п</t>
  </si>
  <si>
    <t>Уборка территории</t>
  </si>
  <si>
    <t>Управление МКД</t>
  </si>
  <si>
    <t>Благоустройство</t>
  </si>
  <si>
    <t>1.1</t>
  </si>
  <si>
    <t>2</t>
  </si>
  <si>
    <t>2.2</t>
  </si>
  <si>
    <t>1.2</t>
  </si>
  <si>
    <t>2.1</t>
  </si>
  <si>
    <t>3</t>
  </si>
  <si>
    <t>4.2</t>
  </si>
  <si>
    <t>2.3</t>
  </si>
  <si>
    <t>* Материалы для уборки территории:</t>
  </si>
  <si>
    <t>Количество/год</t>
  </si>
  <si>
    <t>Цена</t>
  </si>
  <si>
    <t>Лопата для уборки снега</t>
  </si>
  <si>
    <t>Лопата совковая</t>
  </si>
  <si>
    <t>Лопата штыковая</t>
  </si>
  <si>
    <t>Метла береза</t>
  </si>
  <si>
    <t>Метла пластик</t>
  </si>
  <si>
    <t>Скребок для наледи</t>
  </si>
  <si>
    <t>Ведро для сбора мелкого мусора</t>
  </si>
  <si>
    <t>Пакеты для мусора 240л</t>
  </si>
  <si>
    <t>Скрепер для уборки снега</t>
  </si>
  <si>
    <t>Грабли</t>
  </si>
  <si>
    <t>**Спецодежда:</t>
  </si>
  <si>
    <t>Костюм летний</t>
  </si>
  <si>
    <t>Костюм зимний</t>
  </si>
  <si>
    <t>Сапоги</t>
  </si>
  <si>
    <t>Валенки</t>
  </si>
  <si>
    <t>Сумма</t>
  </si>
  <si>
    <t>* Материалы для ТО электрохозяйства:</t>
  </si>
  <si>
    <t>Розетки</t>
  </si>
  <si>
    <t>* Материалы для ТО сантеххозяйства:</t>
  </si>
  <si>
    <t>Датчики движения</t>
  </si>
  <si>
    <t>Поверка манометров</t>
  </si>
  <si>
    <t>Промывка теплообменника</t>
  </si>
  <si>
    <t>Закупка манометров</t>
  </si>
  <si>
    <t>* Материалы для утепления дома:</t>
  </si>
  <si>
    <t>Доводчик</t>
  </si>
  <si>
    <t>Уплотнитель, м</t>
  </si>
  <si>
    <t>Пена монтажная</t>
  </si>
  <si>
    <t>Швабра обычная</t>
  </si>
  <si>
    <t>Совок с ручкой</t>
  </si>
  <si>
    <t>Перчатки</t>
  </si>
  <si>
    <t>Тряпка половая, рулонная</t>
  </si>
  <si>
    <t>Мешки для мусора, рулонные</t>
  </si>
  <si>
    <t>Моющие для пола</t>
  </si>
  <si>
    <t>Полотенечная ткань</t>
  </si>
  <si>
    <t>Пемолюкс</t>
  </si>
  <si>
    <t>Белизна</t>
  </si>
  <si>
    <t>Мыло для рук</t>
  </si>
  <si>
    <t>Стеклоочиститель</t>
  </si>
  <si>
    <t>Перчатки резиновые</t>
  </si>
  <si>
    <t>Перчатки х/б</t>
  </si>
  <si>
    <t>Халат женский</t>
  </si>
  <si>
    <t>Куртка зимняя</t>
  </si>
  <si>
    <t>Жилетка</t>
  </si>
  <si>
    <t>Калоши</t>
  </si>
  <si>
    <t xml:space="preserve">Ведро </t>
  </si>
  <si>
    <t>Срок службы/год</t>
  </si>
  <si>
    <t>* Материалы для уборки МОП:</t>
  </si>
  <si>
    <t>Налоги</t>
  </si>
  <si>
    <t>Лампа 36</t>
  </si>
  <si>
    <t>Лампа 18</t>
  </si>
  <si>
    <t>Стартер</t>
  </si>
  <si>
    <t>Лампа 60</t>
  </si>
  <si>
    <t>Патрон</t>
  </si>
  <si>
    <t>Вывоз мусора</t>
  </si>
  <si>
    <t>Биллинг</t>
  </si>
  <si>
    <t>Наименование</t>
  </si>
  <si>
    <t>№МКД</t>
  </si>
  <si>
    <t>S благоустройства, м2</t>
  </si>
  <si>
    <t>Перегной</t>
  </si>
  <si>
    <t>Объем 1 авто, м3</t>
  </si>
  <si>
    <t>Толщина слоя, м</t>
  </si>
  <si>
    <t>Необходимо , м3</t>
  </si>
  <si>
    <t>Кол-во авто</t>
  </si>
  <si>
    <t>Рассада</t>
  </si>
  <si>
    <t>Песок</t>
  </si>
  <si>
    <t>88, 90 , 92</t>
  </si>
  <si>
    <t>Цветы</t>
  </si>
  <si>
    <t>Кустарники</t>
  </si>
  <si>
    <t>Кол-во, шт.</t>
  </si>
  <si>
    <t>Цена, руб.</t>
  </si>
  <si>
    <t>Сумма, руб.</t>
  </si>
  <si>
    <t>Цена за ед., руб.</t>
  </si>
  <si>
    <t>Итого, руб.</t>
  </si>
  <si>
    <t>S уборки, м2</t>
  </si>
  <si>
    <t>Период</t>
  </si>
  <si>
    <t>ноябрь-декабрь</t>
  </si>
  <si>
    <t>Объем для вывоза , м3</t>
  </si>
  <si>
    <t>январь-март</t>
  </si>
  <si>
    <t>КГМ</t>
  </si>
  <si>
    <t>Вид контейнера</t>
  </si>
  <si>
    <t>ТБО</t>
  </si>
  <si>
    <t>Объем, м3</t>
  </si>
  <si>
    <t>Цена за один вывоз до 01.07.2014г., руб.</t>
  </si>
  <si>
    <t>Сумма, руб./мес</t>
  </si>
  <si>
    <t>Сумма, руб./год</t>
  </si>
  <si>
    <t>Периодичность вывоза,                        месяц</t>
  </si>
  <si>
    <t>Доля в КГМ №88, %</t>
  </si>
  <si>
    <t>Доля в КГМ №90, %</t>
  </si>
  <si>
    <t>Доля в КГМ №92, %</t>
  </si>
  <si>
    <t>Вид налога</t>
  </si>
  <si>
    <t>НО база, руб.</t>
  </si>
  <si>
    <t>Ставка, %</t>
  </si>
  <si>
    <t>ПФ страховая часть</t>
  </si>
  <si>
    <t>ПФ накоп.часть</t>
  </si>
  <si>
    <t>ФСС</t>
  </si>
  <si>
    <t>Сумма начислений по комм.услугам, руб.</t>
  </si>
  <si>
    <t>Сумма начислений по содержанию, руб.</t>
  </si>
  <si>
    <t>Сумма задолженности, руб.</t>
  </si>
  <si>
    <t>Ставка комиссии, %</t>
  </si>
  <si>
    <t>Сумма комиссии, руб.</t>
  </si>
  <si>
    <t>Комиссия</t>
  </si>
  <si>
    <t>Обслуживание р/сч</t>
  </si>
  <si>
    <t>Ставка за обсл.р/с, руб.</t>
  </si>
  <si>
    <t>Сумма за обсл.р/сч в год, руб.</t>
  </si>
  <si>
    <t>Итого банк, руб.</t>
  </si>
  <si>
    <t>Заселение №88, %</t>
  </si>
  <si>
    <t>Заселение №90, %</t>
  </si>
  <si>
    <t>Заселение №92, %</t>
  </si>
  <si>
    <t>Оплата КГМ №88, руб. мес.</t>
  </si>
  <si>
    <t>Оплата КГМ №88, руб. год</t>
  </si>
  <si>
    <t>Материалы для технички</t>
  </si>
  <si>
    <t>Утепление дома</t>
  </si>
  <si>
    <t>Материалы для электрика</t>
  </si>
  <si>
    <t>Материалы для сантехника</t>
  </si>
  <si>
    <t>Банк</t>
  </si>
  <si>
    <t>Пружина</t>
  </si>
  <si>
    <t>Периодичность</t>
  </si>
  <si>
    <t>1 раз в сутки</t>
  </si>
  <si>
    <t>1 раз в год</t>
  </si>
  <si>
    <t>до 15 июня</t>
  </si>
  <si>
    <t>По мере необходимости</t>
  </si>
  <si>
    <t>Управляющая организация</t>
  </si>
  <si>
    <t>_________________ Ю.А. Сухарченко</t>
  </si>
  <si>
    <t>Конструктивные особенности</t>
  </si>
  <si>
    <t>Необходимость ежегодного промывания теплообменников и системы отопления</t>
  </si>
  <si>
    <t>Износ затворов, 3-х ходовых кранов, коррозия муфт соединения трубопроводов</t>
  </si>
  <si>
    <t>Необходимость поверки приборов учета по сроку эксплуатации</t>
  </si>
  <si>
    <t>S МКД =</t>
  </si>
  <si>
    <t>Наименование статьи затрат</t>
  </si>
  <si>
    <r>
      <t>Расходы на 1м</t>
    </r>
    <r>
      <rPr>
        <b/>
        <vertAlign val="superscript"/>
        <sz val="12"/>
        <color theme="1"/>
        <rFont val="Times New Roman"/>
        <family val="1"/>
        <charset val="204"/>
      </rPr>
      <t>2</t>
    </r>
  </si>
  <si>
    <t>Содержание и обслуживание общего имущества МКД, в том числе:</t>
  </si>
  <si>
    <t>Содержание придомовой территории МКД, в т.ч.:</t>
  </si>
  <si>
    <t>1.1.1</t>
  </si>
  <si>
    <t>1.1.2</t>
  </si>
  <si>
    <t>Подсыпка песка на детскую площадку</t>
  </si>
  <si>
    <t>1.1.3</t>
  </si>
  <si>
    <t>Рассада, кустарники, газон</t>
  </si>
  <si>
    <t>1.1.4</t>
  </si>
  <si>
    <t>Уборка снега (механизированная)</t>
  </si>
  <si>
    <t>Содержание общего имущества МКД, в т.ч.:</t>
  </si>
  <si>
    <t>1.2.1</t>
  </si>
  <si>
    <t>1.2.2</t>
  </si>
  <si>
    <t>ТО электро сетей</t>
  </si>
  <si>
    <t>1.2.3</t>
  </si>
  <si>
    <t>ТО тепловых сетей</t>
  </si>
  <si>
    <t>1.2.4</t>
  </si>
  <si>
    <t>ТО сетей водоснабжения и канализации</t>
  </si>
  <si>
    <t>1.2.5</t>
  </si>
  <si>
    <t>ТО ППС</t>
  </si>
  <si>
    <t>1.2.6</t>
  </si>
  <si>
    <t>1.2.8</t>
  </si>
  <si>
    <t>Обслуживание лифтового хозяйства</t>
  </si>
  <si>
    <t>1.2.9</t>
  </si>
  <si>
    <t>Страхование ГО владельца опасного объекта</t>
  </si>
  <si>
    <t>1.2.10</t>
  </si>
  <si>
    <t>1.2.11</t>
  </si>
  <si>
    <t>Содержание и обслуживание автоматических ворот</t>
  </si>
  <si>
    <t>Управление МКД, в том числе:</t>
  </si>
  <si>
    <t>Обслуживание расчетного счета ООО</t>
  </si>
  <si>
    <t>2.4</t>
  </si>
  <si>
    <t>Аренда офиса ООО, в т.ч. ЖКУ</t>
  </si>
  <si>
    <t>2.5</t>
  </si>
  <si>
    <t>Канцелярские товары</t>
  </si>
  <si>
    <t>2.6</t>
  </si>
  <si>
    <t>Расходы на ТО орг.техники</t>
  </si>
  <si>
    <t>2.7</t>
  </si>
  <si>
    <t>Расходы на оплату труда (ФОТ УК)</t>
  </si>
  <si>
    <t>2.8</t>
  </si>
  <si>
    <t>Налог на УСН</t>
  </si>
  <si>
    <t>Накопительный фонд</t>
  </si>
  <si>
    <t>Вывоз КГМ</t>
  </si>
  <si>
    <t>Содержание и обслуживание общего имущества МКД</t>
  </si>
  <si>
    <t>Затраты, руб./мес.</t>
  </si>
  <si>
    <t>Затраты, руб./год</t>
  </si>
  <si>
    <t>2 раза в год</t>
  </si>
  <si>
    <t>По регламенту</t>
  </si>
  <si>
    <t>Общая площадь жилых и нежилых помещений 6387 м2</t>
  </si>
  <si>
    <t>Уборка придомовой территории (ФОТ и расходые материалы)</t>
  </si>
  <si>
    <t>Уборка мест общего пользования ( ФОТ и расходные материалы)</t>
  </si>
  <si>
    <t>Диспетчерская (круглосуточная)</t>
  </si>
  <si>
    <t>Содержание и обслуживание домофона (в т.ч. калитки)</t>
  </si>
  <si>
    <t>Обслуживание системы видеонаблюдения</t>
  </si>
  <si>
    <t>Охрана</t>
  </si>
  <si>
    <t>Текущий ремонт</t>
  </si>
  <si>
    <t>1.2.12</t>
  </si>
  <si>
    <t>1.2.13</t>
  </si>
  <si>
    <t>1.2.7</t>
  </si>
  <si>
    <t>По договору</t>
  </si>
  <si>
    <t>Усуги почты</t>
  </si>
  <si>
    <t>Затраты УК</t>
  </si>
  <si>
    <t>2.9</t>
  </si>
  <si>
    <t>Тарифицированный перечень обязательных работ, услуг по содержанию и ремонту общего имущества собственников помещений в многоквартирном доме ул. Ямская 88 на 2019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</si>
</sst>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sz val="11"/>
      <color theme="1"/>
      <name val="Calibri"/>
      <family val="2"/>
      <scheme val="minor"/>
    </font>
    <font>
      <sz val="11"/>
      <color theme="0" tint="-0.249977111117893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vertAlign val="superscript"/>
      <sz val="12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0" fillId="0" borderId="0"/>
  </cellStyleXfs>
  <cellXfs count="149">
    <xf numFmtId="0" fontId="0" fillId="0" borderId="0" xfId="0"/>
    <xf numFmtId="0" fontId="0" fillId="0" borderId="0" xfId="0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" fontId="0" fillId="0" borderId="1" xfId="0" applyNumberFormat="1" applyBorder="1" applyAlignment="1">
      <alignment vertical="center" wrapText="1"/>
    </xf>
    <xf numFmtId="1" fontId="1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0" fontId="5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Border="1" applyAlignment="1">
      <alignment horizontal="right" vertical="center" wrapText="1"/>
    </xf>
    <xf numFmtId="0" fontId="4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1" fontId="0" fillId="0" borderId="1" xfId="0" applyNumberFormat="1" applyBorder="1" applyAlignment="1">
      <alignment horizontal="right" vertical="center" wrapText="1"/>
    </xf>
    <xf numFmtId="1" fontId="1" fillId="0" borderId="1" xfId="0" applyNumberFormat="1" applyFont="1" applyBorder="1" applyAlignment="1">
      <alignment horizontal="right" vertical="center" wrapText="1"/>
    </xf>
    <xf numFmtId="0" fontId="0" fillId="0" borderId="1" xfId="0" applyBorder="1"/>
    <xf numFmtId="0" fontId="0" fillId="0" borderId="1" xfId="0" applyFill="1" applyBorder="1" applyAlignment="1">
      <alignment horizontal="left" vertical="center" wrapText="1"/>
    </xf>
    <xf numFmtId="164" fontId="5" fillId="0" borderId="1" xfId="0" applyNumberFormat="1" applyFont="1" applyBorder="1" applyAlignment="1">
      <alignment horizontal="right" vertical="center" wrapText="1"/>
    </xf>
    <xf numFmtId="164" fontId="5" fillId="0" borderId="1" xfId="0" applyNumberFormat="1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1" fontId="0" fillId="0" borderId="1" xfId="0" applyNumberFormat="1" applyFont="1" applyBorder="1" applyAlignment="1">
      <alignment horizontal="right" vertical="center" wrapText="1"/>
    </xf>
    <xf numFmtId="0" fontId="0" fillId="0" borderId="1" xfId="0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164" fontId="0" fillId="0" borderId="1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" fontId="0" fillId="0" borderId="0" xfId="0" applyNumberFormat="1" applyBorder="1" applyAlignment="1">
      <alignment horizontal="center" vertical="center" wrapText="1"/>
    </xf>
    <xf numFmtId="164" fontId="0" fillId="0" borderId="0" xfId="0" applyNumberFormat="1" applyBorder="1" applyAlignment="1">
      <alignment horizontal="center" vertical="center" wrapText="1"/>
    </xf>
    <xf numFmtId="1" fontId="0" fillId="0" borderId="1" xfId="0" applyNumberForma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 wrapText="1"/>
    </xf>
    <xf numFmtId="1" fontId="11" fillId="0" borderId="1" xfId="0" applyNumberFormat="1" applyFont="1" applyBorder="1" applyAlignment="1">
      <alignment horizontal="center" vertical="center" wrapText="1"/>
    </xf>
    <xf numFmtId="1" fontId="0" fillId="0" borderId="0" xfId="0" applyNumberFormat="1" applyAlignment="1">
      <alignment horizontal="center"/>
    </xf>
    <xf numFmtId="1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 vertical="center" wrapText="1"/>
    </xf>
    <xf numFmtId="1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right" vertical="center" wrapText="1"/>
    </xf>
    <xf numFmtId="1" fontId="4" fillId="0" borderId="1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3" fontId="12" fillId="0" borderId="1" xfId="0" applyNumberFormat="1" applyFont="1" applyFill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center" vertical="center" wrapText="1"/>
    </xf>
    <xf numFmtId="0" fontId="13" fillId="0" borderId="0" xfId="0" applyFont="1" applyFill="1"/>
    <xf numFmtId="0" fontId="13" fillId="0" borderId="1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14" fillId="0" borderId="6" xfId="0" applyFont="1" applyFill="1" applyBorder="1" applyAlignment="1">
      <alignment horizontal="center"/>
    </xf>
    <xf numFmtId="2" fontId="14" fillId="0" borderId="6" xfId="0" applyNumberFormat="1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0" fontId="15" fillId="0" borderId="0" xfId="0" applyFont="1" applyFill="1"/>
    <xf numFmtId="0" fontId="16" fillId="0" borderId="2" xfId="0" applyFont="1" applyFill="1" applyBorder="1" applyAlignment="1">
      <alignment horizontal="center" vertical="top" wrapText="1"/>
    </xf>
    <xf numFmtId="49" fontId="18" fillId="0" borderId="1" xfId="0" applyNumberFormat="1" applyFont="1" applyFill="1" applyBorder="1" applyAlignment="1">
      <alignment horizontal="center" vertical="center" wrapText="1"/>
    </xf>
    <xf numFmtId="3" fontId="18" fillId="0" borderId="1" xfId="0" applyNumberFormat="1" applyFont="1" applyFill="1" applyBorder="1" applyAlignment="1">
      <alignment horizontal="center" vertical="center" wrapText="1"/>
    </xf>
    <xf numFmtId="2" fontId="18" fillId="0" borderId="1" xfId="0" applyNumberFormat="1" applyFont="1" applyFill="1" applyBorder="1" applyAlignment="1">
      <alignment horizontal="center" vertical="center" wrapText="1"/>
    </xf>
    <xf numFmtId="1" fontId="18" fillId="0" borderId="1" xfId="0" applyNumberFormat="1" applyFont="1" applyFill="1" applyBorder="1" applyAlignment="1">
      <alignment horizontal="center" vertical="center" wrapText="1"/>
    </xf>
    <xf numFmtId="3" fontId="20" fillId="0" borderId="1" xfId="0" applyNumberFormat="1" applyFont="1" applyFill="1" applyBorder="1" applyAlignment="1">
      <alignment horizontal="center" vertical="center" wrapText="1"/>
    </xf>
    <xf numFmtId="49" fontId="16" fillId="0" borderId="1" xfId="0" applyNumberFormat="1" applyFont="1" applyFill="1" applyBorder="1" applyAlignment="1">
      <alignment horizontal="center" vertical="center" wrapText="1"/>
    </xf>
    <xf numFmtId="3" fontId="16" fillId="0" borderId="1" xfId="0" applyNumberFormat="1" applyFont="1" applyFill="1" applyBorder="1" applyAlignment="1">
      <alignment horizontal="center" vertical="center" wrapText="1"/>
    </xf>
    <xf numFmtId="2" fontId="16" fillId="0" borderId="1" xfId="0" applyNumberFormat="1" applyFont="1" applyFill="1" applyBorder="1" applyAlignment="1">
      <alignment horizontal="center" vertical="center" wrapText="1"/>
    </xf>
    <xf numFmtId="49" fontId="18" fillId="0" borderId="0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center" wrapText="1"/>
    </xf>
    <xf numFmtId="3" fontId="18" fillId="0" borderId="0" xfId="0" applyNumberFormat="1" applyFont="1" applyFill="1" applyBorder="1" applyAlignment="1">
      <alignment horizontal="center" vertical="center" wrapText="1"/>
    </xf>
    <xf numFmtId="2" fontId="18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vertical="center" wrapText="1"/>
    </xf>
    <xf numFmtId="0" fontId="13" fillId="0" borderId="0" xfId="0" applyFont="1" applyFill="1" applyAlignment="1">
      <alignment horizontal="center" vertical="center" wrapText="1"/>
    </xf>
    <xf numFmtId="2" fontId="13" fillId="0" borderId="0" xfId="0" applyNumberFormat="1" applyFont="1" applyFill="1" applyAlignment="1">
      <alignment horizontal="center"/>
    </xf>
    <xf numFmtId="0" fontId="16" fillId="0" borderId="4" xfId="0" applyFont="1" applyFill="1" applyBorder="1" applyAlignment="1">
      <alignment vertical="top" wrapText="1"/>
    </xf>
    <xf numFmtId="0" fontId="19" fillId="0" borderId="8" xfId="0" applyFont="1" applyFill="1" applyBorder="1" applyAlignment="1">
      <alignment vertical="top" wrapText="1"/>
    </xf>
    <xf numFmtId="0" fontId="12" fillId="0" borderId="4" xfId="0" applyFont="1" applyFill="1" applyBorder="1" applyAlignment="1">
      <alignment vertical="center" wrapText="1"/>
    </xf>
    <xf numFmtId="0" fontId="16" fillId="0" borderId="4" xfId="0" applyFont="1" applyFill="1" applyBorder="1" applyAlignment="1">
      <alignment vertical="center" wrapText="1"/>
    </xf>
    <xf numFmtId="0" fontId="16" fillId="0" borderId="4" xfId="0" applyFont="1" applyFill="1" applyBorder="1" applyAlignment="1">
      <alignment horizontal="left" vertical="center" wrapText="1"/>
    </xf>
    <xf numFmtId="0" fontId="15" fillId="0" borderId="6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 vertical="top" wrapText="1"/>
    </xf>
    <xf numFmtId="0" fontId="16" fillId="0" borderId="8" xfId="0" applyFont="1" applyFill="1" applyBorder="1" applyAlignment="1">
      <alignment horizontal="center" vertical="top" wrapText="1"/>
    </xf>
    <xf numFmtId="2" fontId="16" fillId="0" borderId="2" xfId="0" applyNumberFormat="1" applyFont="1" applyFill="1" applyBorder="1" applyAlignment="1">
      <alignment horizontal="center" vertical="top" wrapText="1"/>
    </xf>
    <xf numFmtId="49" fontId="19" fillId="0" borderId="2" xfId="0" applyNumberFormat="1" applyFont="1" applyFill="1" applyBorder="1" applyAlignment="1">
      <alignment horizontal="center" vertical="top" wrapText="1"/>
    </xf>
    <xf numFmtId="3" fontId="19" fillId="0" borderId="1" xfId="0" applyNumberFormat="1" applyFont="1" applyFill="1" applyBorder="1" applyAlignment="1">
      <alignment vertical="top" wrapText="1"/>
    </xf>
    <xf numFmtId="3" fontId="12" fillId="0" borderId="4" xfId="0" applyNumberFormat="1" applyFont="1" applyFill="1" applyBorder="1" applyAlignment="1">
      <alignment horizontal="center" vertical="center" wrapText="1"/>
    </xf>
    <xf numFmtId="3" fontId="18" fillId="0" borderId="4" xfId="0" applyNumberFormat="1" applyFont="1" applyFill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vertical="top" wrapText="1"/>
    </xf>
    <xf numFmtId="4" fontId="12" fillId="0" borderId="1" xfId="0" applyNumberFormat="1" applyFont="1" applyFill="1" applyBorder="1" applyAlignment="1">
      <alignment vertical="center" wrapText="1"/>
    </xf>
    <xf numFmtId="4" fontId="16" fillId="0" borderId="1" xfId="0" applyNumberFormat="1" applyFont="1" applyFill="1" applyBorder="1" applyAlignment="1">
      <alignment vertical="center" wrapText="1"/>
    </xf>
    <xf numFmtId="0" fontId="13" fillId="0" borderId="1" xfId="0" applyFont="1" applyFill="1" applyBorder="1" applyAlignment="1">
      <alignment vertical="center" wrapText="1"/>
    </xf>
    <xf numFmtId="3" fontId="19" fillId="0" borderId="2" xfId="0" applyNumberFormat="1" applyFont="1" applyFill="1" applyBorder="1" applyAlignment="1">
      <alignment horizontal="center" vertical="center" wrapText="1"/>
    </xf>
    <xf numFmtId="2" fontId="19" fillId="0" borderId="2" xfId="0" applyNumberFormat="1" applyFont="1" applyFill="1" applyBorder="1" applyAlignment="1">
      <alignment horizontal="center" vertical="center" wrapText="1"/>
    </xf>
    <xf numFmtId="4" fontId="22" fillId="0" borderId="0" xfId="0" applyNumberFormat="1" applyFont="1" applyFill="1" applyBorder="1" applyAlignment="1">
      <alignment horizontal="center" vertical="center" wrapText="1"/>
    </xf>
    <xf numFmtId="0" fontId="21" fillId="0" borderId="4" xfId="0" applyFont="1" applyFill="1" applyBorder="1" applyAlignment="1">
      <alignment vertical="center" wrapText="1"/>
    </xf>
    <xf numFmtId="0" fontId="24" fillId="0" borderId="4" xfId="0" applyFont="1" applyFill="1" applyBorder="1" applyAlignment="1">
      <alignment vertical="center" wrapText="1"/>
    </xf>
    <xf numFmtId="0" fontId="21" fillId="0" borderId="4" xfId="0" applyFont="1" applyFill="1" applyBorder="1" applyAlignment="1">
      <alignment horizontal="left" vertical="center" wrapText="1"/>
    </xf>
    <xf numFmtId="49" fontId="21" fillId="0" borderId="0" xfId="0" applyNumberFormat="1" applyFont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0" fontId="21" fillId="0" borderId="2" xfId="0" applyFont="1" applyFill="1" applyBorder="1" applyAlignment="1">
      <alignment horizontal="center" vertical="center" wrapText="1"/>
    </xf>
    <xf numFmtId="3" fontId="21" fillId="0" borderId="1" xfId="0" applyNumberFormat="1" applyFont="1" applyFill="1" applyBorder="1" applyAlignment="1">
      <alignment horizontal="center" vertical="center" wrapText="1"/>
    </xf>
    <xf numFmtId="2" fontId="21" fillId="0" borderId="1" xfId="0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3" fontId="21" fillId="0" borderId="1" xfId="0" applyNumberFormat="1" applyFont="1" applyFill="1" applyBorder="1" applyAlignment="1">
      <alignment horizontal="center"/>
    </xf>
    <xf numFmtId="2" fontId="21" fillId="0" borderId="1" xfId="0" applyNumberFormat="1" applyFont="1" applyFill="1" applyBorder="1" applyAlignment="1">
      <alignment horizontal="center"/>
    </xf>
    <xf numFmtId="3" fontId="16" fillId="0" borderId="4" xfId="0" applyNumberFormat="1" applyFont="1" applyFill="1" applyBorder="1" applyAlignment="1">
      <alignment horizontal="center" vertical="center" wrapText="1"/>
    </xf>
    <xf numFmtId="3" fontId="19" fillId="0" borderId="4" xfId="0" applyNumberFormat="1" applyFont="1" applyFill="1" applyBorder="1" applyAlignment="1">
      <alignment horizontal="center" vertical="center" wrapText="1"/>
    </xf>
    <xf numFmtId="1" fontId="18" fillId="0" borderId="4" xfId="0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3" fontId="21" fillId="0" borderId="0" xfId="0" applyNumberFormat="1" applyFont="1" applyFill="1" applyBorder="1" applyAlignment="1">
      <alignment horizontal="center"/>
    </xf>
    <xf numFmtId="2" fontId="21" fillId="0" borderId="0" xfId="0" applyNumberFormat="1" applyFont="1" applyFill="1" applyBorder="1" applyAlignment="1">
      <alignment horizontal="center"/>
    </xf>
    <xf numFmtId="0" fontId="21" fillId="0" borderId="1" xfId="0" applyFont="1" applyFill="1" applyBorder="1" applyAlignment="1">
      <alignment vertical="center" wrapText="1"/>
    </xf>
    <xf numFmtId="0" fontId="14" fillId="0" borderId="6" xfId="0" applyFont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49" fontId="21" fillId="0" borderId="0" xfId="0" applyNumberFormat="1" applyFont="1" applyAlignment="1">
      <alignment horizontal="left" vertical="center" wrapText="1"/>
    </xf>
    <xf numFmtId="0" fontId="21" fillId="0" borderId="4" xfId="0" applyFont="1" applyFill="1" applyBorder="1" applyAlignment="1">
      <alignment horizontal="center" vertical="center" wrapText="1"/>
    </xf>
    <xf numFmtId="0" fontId="21" fillId="0" borderId="5" xfId="0" applyFont="1" applyFill="1" applyBorder="1" applyAlignment="1">
      <alignment horizontal="center" vertical="center" wrapText="1"/>
    </xf>
    <xf numFmtId="49" fontId="23" fillId="0" borderId="0" xfId="0" applyNumberFormat="1" applyFont="1" applyFill="1" applyAlignment="1">
      <alignment horizontal="center" vertical="center" wrapText="1"/>
    </xf>
    <xf numFmtId="49" fontId="13" fillId="0" borderId="0" xfId="0" applyNumberFormat="1" applyFont="1" applyFill="1" applyAlignment="1">
      <alignment horizontal="left" vertical="center" wrapText="1"/>
    </xf>
    <xf numFmtId="0" fontId="1" fillId="0" borderId="6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" fontId="0" fillId="0" borderId="2" xfId="0" applyNumberFormat="1" applyBorder="1" applyAlignment="1">
      <alignment horizontal="center" vertical="center" wrapText="1"/>
    </xf>
    <xf numFmtId="1" fontId="0" fillId="0" borderId="3" xfId="0" applyNumberForma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5"/>
  <sheetViews>
    <sheetView tabSelected="1" zoomScaleNormal="100" workbookViewId="0">
      <selection activeCell="D5" sqref="D5"/>
    </sheetView>
  </sheetViews>
  <sheetFormatPr defaultRowHeight="15" x14ac:dyDescent="0.25"/>
  <cols>
    <col min="1" max="1" width="6.7109375" style="65" customWidth="1"/>
    <col min="2" max="2" width="35.42578125" style="62" customWidth="1"/>
    <col min="3" max="3" width="12" style="65" customWidth="1"/>
    <col min="4" max="4" width="10.7109375" style="86" customWidth="1"/>
    <col min="5" max="5" width="14.140625" style="65" customWidth="1"/>
    <col min="6" max="6" width="18.7109375" style="65" customWidth="1"/>
    <col min="7" max="7" width="24.85546875" style="65" customWidth="1"/>
    <col min="8" max="16384" width="9.140625" style="62"/>
  </cols>
  <sheetData>
    <row r="1" spans="1:7" ht="57.75" customHeight="1" x14ac:dyDescent="0.25">
      <c r="A1" s="131" t="s">
        <v>208</v>
      </c>
      <c r="B1" s="131"/>
      <c r="C1" s="131"/>
      <c r="D1" s="131"/>
      <c r="E1" s="131"/>
      <c r="F1" s="131"/>
      <c r="G1" s="131"/>
    </row>
    <row r="2" spans="1:7" ht="15" hidden="1" customHeight="1" x14ac:dyDescent="0.25">
      <c r="A2" s="132" t="s">
        <v>193</v>
      </c>
      <c r="B2" s="132"/>
      <c r="C2" s="132"/>
      <c r="D2" s="132"/>
      <c r="E2" s="132"/>
      <c r="F2" s="132"/>
      <c r="G2" s="132"/>
    </row>
    <row r="3" spans="1:7" s="70" customFormat="1" ht="15" hidden="1" customHeight="1" x14ac:dyDescent="0.25">
      <c r="A3" s="66" t="s">
        <v>144</v>
      </c>
      <c r="B3" s="67">
        <v>6387</v>
      </c>
      <c r="C3" s="126">
        <f>24004+6414+6387+6498</f>
        <v>43303</v>
      </c>
      <c r="D3" s="68"/>
      <c r="E3" s="69"/>
      <c r="F3" s="69"/>
      <c r="G3" s="92"/>
    </row>
    <row r="4" spans="1:7" ht="32.25" customHeight="1" x14ac:dyDescent="0.25">
      <c r="A4" s="71" t="s">
        <v>2</v>
      </c>
      <c r="B4" s="71" t="s">
        <v>145</v>
      </c>
      <c r="C4" s="71" t="s">
        <v>189</v>
      </c>
      <c r="D4" s="95" t="s">
        <v>146</v>
      </c>
      <c r="E4" s="94" t="s">
        <v>190</v>
      </c>
      <c r="F4" s="93" t="s">
        <v>133</v>
      </c>
      <c r="G4" s="93" t="s">
        <v>140</v>
      </c>
    </row>
    <row r="5" spans="1:7" ht="47.25" x14ac:dyDescent="0.25">
      <c r="A5" s="71">
        <v>1</v>
      </c>
      <c r="B5" s="87" t="s">
        <v>147</v>
      </c>
      <c r="C5" s="78">
        <f>C6+C11</f>
        <v>75148.656999999992</v>
      </c>
      <c r="D5" s="79">
        <f>(D6+D11)</f>
        <v>11.716072717610706</v>
      </c>
      <c r="E5" s="118">
        <f>E6+E11</f>
        <v>644776.36800000002</v>
      </c>
      <c r="F5" s="93"/>
      <c r="G5" s="100"/>
    </row>
    <row r="6" spans="1:7" ht="30.75" customHeight="1" x14ac:dyDescent="0.25">
      <c r="A6" s="96" t="s">
        <v>6</v>
      </c>
      <c r="B6" s="88" t="s">
        <v>148</v>
      </c>
      <c r="C6" s="104">
        <f t="shared" ref="C6" si="0">SUM(C7:C10)</f>
        <v>15176.84</v>
      </c>
      <c r="D6" s="105">
        <f t="shared" ref="D6" si="1">SUM(D7:D10)</f>
        <v>2.3394694248762966</v>
      </c>
      <c r="E6" s="119">
        <f>+E7+E10</f>
        <v>177922.08000000002</v>
      </c>
      <c r="F6" s="97"/>
      <c r="G6" s="101"/>
    </row>
    <row r="7" spans="1:7" ht="29.25" customHeight="1" x14ac:dyDescent="0.25">
      <c r="A7" s="72" t="s">
        <v>149</v>
      </c>
      <c r="B7" s="107" t="s">
        <v>194</v>
      </c>
      <c r="C7" s="73">
        <v>9637</v>
      </c>
      <c r="D7" s="74">
        <v>1.4855178579686463</v>
      </c>
      <c r="E7" s="99">
        <v>115644</v>
      </c>
      <c r="F7" s="107" t="s">
        <v>134</v>
      </c>
      <c r="G7" s="101"/>
    </row>
    <row r="8" spans="1:7" ht="15" customHeight="1" x14ac:dyDescent="0.25">
      <c r="A8" s="72" t="s">
        <v>150</v>
      </c>
      <c r="B8" s="107" t="s">
        <v>151</v>
      </c>
      <c r="C8" s="75">
        <v>150</v>
      </c>
      <c r="D8" s="74">
        <v>2.3122100103278712E-2</v>
      </c>
      <c r="E8" s="120">
        <v>1800</v>
      </c>
      <c r="F8" s="107" t="s">
        <v>191</v>
      </c>
      <c r="G8" s="101"/>
    </row>
    <row r="9" spans="1:7" ht="15" customHeight="1" x14ac:dyDescent="0.25">
      <c r="A9" s="72" t="s">
        <v>152</v>
      </c>
      <c r="B9" s="107" t="s">
        <v>153</v>
      </c>
      <c r="C9" s="75">
        <v>200</v>
      </c>
      <c r="D9" s="74">
        <v>3.0829466804371618E-2</v>
      </c>
      <c r="E9" s="120">
        <v>2400</v>
      </c>
      <c r="F9" s="107" t="s">
        <v>136</v>
      </c>
      <c r="G9" s="101"/>
    </row>
    <row r="10" spans="1:7" ht="25.5" x14ac:dyDescent="0.25">
      <c r="A10" s="72" t="s">
        <v>154</v>
      </c>
      <c r="B10" s="107" t="s">
        <v>155</v>
      </c>
      <c r="C10" s="73">
        <v>5189.84</v>
      </c>
      <c r="D10" s="74">
        <v>0.8</v>
      </c>
      <c r="E10" s="99">
        <v>62278.080000000002</v>
      </c>
      <c r="F10" s="107" t="s">
        <v>137</v>
      </c>
      <c r="G10" s="101"/>
    </row>
    <row r="11" spans="1:7" ht="28.5" x14ac:dyDescent="0.25">
      <c r="A11" s="59" t="s">
        <v>9</v>
      </c>
      <c r="B11" s="89" t="s">
        <v>156</v>
      </c>
      <c r="C11" s="60">
        <f>SUM(C12:C24)</f>
        <v>59971.816999999995</v>
      </c>
      <c r="D11" s="61">
        <f>SUM(D12:D24)</f>
        <v>9.3766032927344085</v>
      </c>
      <c r="E11" s="98">
        <f>SUM(E12:E20)</f>
        <v>466854.288</v>
      </c>
      <c r="F11" s="60"/>
      <c r="G11" s="101"/>
    </row>
    <row r="12" spans="1:7" ht="24" customHeight="1" x14ac:dyDescent="0.25">
      <c r="A12" s="72" t="s">
        <v>157</v>
      </c>
      <c r="B12" s="107" t="s">
        <v>195</v>
      </c>
      <c r="C12" s="73">
        <v>10947</v>
      </c>
      <c r="D12" s="74">
        <v>1.7115652214700043</v>
      </c>
      <c r="E12" s="99">
        <v>131364</v>
      </c>
      <c r="F12" s="107" t="s">
        <v>134</v>
      </c>
      <c r="G12" s="101"/>
    </row>
    <row r="13" spans="1:7" x14ac:dyDescent="0.25">
      <c r="A13" s="72" t="s">
        <v>158</v>
      </c>
      <c r="B13" s="107" t="s">
        <v>196</v>
      </c>
      <c r="C13" s="73">
        <v>2814.1959999999999</v>
      </c>
      <c r="D13" s="74">
        <v>0.44</v>
      </c>
      <c r="E13" s="73"/>
      <c r="F13" s="125" t="s">
        <v>204</v>
      </c>
      <c r="G13" s="127"/>
    </row>
    <row r="14" spans="1:7" ht="38.25" x14ac:dyDescent="0.25">
      <c r="A14" s="72" t="s">
        <v>160</v>
      </c>
      <c r="B14" s="107" t="s">
        <v>159</v>
      </c>
      <c r="C14" s="73">
        <v>1215.221</v>
      </c>
      <c r="D14" s="74">
        <v>0.19</v>
      </c>
      <c r="E14" s="73">
        <v>14582.652</v>
      </c>
      <c r="F14" s="125" t="s">
        <v>192</v>
      </c>
      <c r="G14" s="125" t="s">
        <v>143</v>
      </c>
    </row>
    <row r="15" spans="1:7" ht="51" x14ac:dyDescent="0.25">
      <c r="A15" s="72" t="s">
        <v>162</v>
      </c>
      <c r="B15" s="107" t="s">
        <v>161</v>
      </c>
      <c r="C15" s="73">
        <v>5820.2690000000002</v>
      </c>
      <c r="D15" s="74">
        <v>0.91</v>
      </c>
      <c r="E15" s="99">
        <v>69843.228000000003</v>
      </c>
      <c r="F15" s="107" t="s">
        <v>192</v>
      </c>
      <c r="G15" s="125" t="s">
        <v>141</v>
      </c>
    </row>
    <row r="16" spans="1:7" ht="38.25" x14ac:dyDescent="0.25">
      <c r="A16" s="72" t="s">
        <v>164</v>
      </c>
      <c r="B16" s="107" t="s">
        <v>163</v>
      </c>
      <c r="C16" s="76">
        <v>575.63099999999997</v>
      </c>
      <c r="D16" s="74">
        <v>0.09</v>
      </c>
      <c r="E16" s="99">
        <v>6907.5720000000001</v>
      </c>
      <c r="F16" s="107" t="s">
        <v>192</v>
      </c>
      <c r="G16" s="125" t="s">
        <v>142</v>
      </c>
    </row>
    <row r="17" spans="1:7" x14ac:dyDescent="0.25">
      <c r="A17" s="72" t="s">
        <v>166</v>
      </c>
      <c r="B17" s="107" t="s">
        <v>165</v>
      </c>
      <c r="C17" s="73">
        <v>0</v>
      </c>
      <c r="D17" s="74">
        <v>0</v>
      </c>
      <c r="E17" s="99">
        <v>0</v>
      </c>
      <c r="F17" s="107" t="s">
        <v>192</v>
      </c>
      <c r="G17" s="125"/>
    </row>
    <row r="18" spans="1:7" ht="15" customHeight="1" x14ac:dyDescent="0.25">
      <c r="A18" s="72" t="s">
        <v>203</v>
      </c>
      <c r="B18" s="107" t="s">
        <v>168</v>
      </c>
      <c r="C18" s="73">
        <v>16117.668</v>
      </c>
      <c r="D18" s="74">
        <v>2.52</v>
      </c>
      <c r="E18" s="99">
        <v>193412.016</v>
      </c>
      <c r="F18" s="107" t="s">
        <v>192</v>
      </c>
      <c r="G18" s="101"/>
    </row>
    <row r="19" spans="1:7" ht="25.5" x14ac:dyDescent="0.25">
      <c r="A19" s="72" t="s">
        <v>167</v>
      </c>
      <c r="B19" s="107" t="s">
        <v>170</v>
      </c>
      <c r="C19" s="73">
        <v>71.400000000000006</v>
      </c>
      <c r="D19" s="74">
        <v>1.116340155412061E-2</v>
      </c>
      <c r="E19" s="99">
        <v>856.80000000000007</v>
      </c>
      <c r="F19" s="107" t="s">
        <v>135</v>
      </c>
      <c r="G19" s="101"/>
    </row>
    <row r="20" spans="1:7" ht="25.5" x14ac:dyDescent="0.25">
      <c r="A20" s="72" t="s">
        <v>169</v>
      </c>
      <c r="B20" s="107" t="s">
        <v>197</v>
      </c>
      <c r="C20" s="73">
        <v>4157.335</v>
      </c>
      <c r="D20" s="74">
        <v>0.65</v>
      </c>
      <c r="E20" s="99">
        <v>49888.020000000004</v>
      </c>
      <c r="F20" s="107" t="s">
        <v>192</v>
      </c>
      <c r="G20" s="101"/>
    </row>
    <row r="21" spans="1:7" ht="25.5" x14ac:dyDescent="0.25">
      <c r="A21" s="72" t="s">
        <v>171</v>
      </c>
      <c r="B21" s="107" t="s">
        <v>173</v>
      </c>
      <c r="C21" s="73">
        <v>768.6</v>
      </c>
      <c r="D21" s="74">
        <v>0.12017073437671009</v>
      </c>
      <c r="E21" s="99">
        <v>9223.2000000000007</v>
      </c>
      <c r="F21" s="107" t="s">
        <v>192</v>
      </c>
      <c r="G21" s="101"/>
    </row>
    <row r="22" spans="1:7" ht="15" customHeight="1" x14ac:dyDescent="0.25">
      <c r="A22" s="72" t="s">
        <v>172</v>
      </c>
      <c r="B22" s="107" t="s">
        <v>198</v>
      </c>
      <c r="C22" s="73">
        <v>5000</v>
      </c>
      <c r="D22" s="74">
        <v>0.7817508091120875</v>
      </c>
      <c r="E22" s="99">
        <v>60000</v>
      </c>
      <c r="F22" s="107" t="s">
        <v>192</v>
      </c>
      <c r="G22" s="101"/>
    </row>
    <row r="23" spans="1:7" ht="15" customHeight="1" x14ac:dyDescent="0.25">
      <c r="A23" s="72" t="s">
        <v>201</v>
      </c>
      <c r="B23" s="107" t="s">
        <v>199</v>
      </c>
      <c r="C23" s="73">
        <v>11704.496999999999</v>
      </c>
      <c r="D23" s="74">
        <v>1.83</v>
      </c>
      <c r="E23" s="99">
        <v>140453.96399999998</v>
      </c>
      <c r="F23" s="107" t="s">
        <v>204</v>
      </c>
      <c r="G23" s="101"/>
    </row>
    <row r="24" spans="1:7" ht="25.5" x14ac:dyDescent="0.25">
      <c r="A24" s="72" t="s">
        <v>202</v>
      </c>
      <c r="B24" s="107" t="s">
        <v>200</v>
      </c>
      <c r="C24" s="73">
        <v>780</v>
      </c>
      <c r="D24" s="74">
        <v>0.12195312622148564</v>
      </c>
      <c r="E24" s="99">
        <v>9360</v>
      </c>
      <c r="F24" s="107" t="s">
        <v>137</v>
      </c>
      <c r="G24" s="101"/>
    </row>
    <row r="25" spans="1:7" ht="30.75" customHeight="1" x14ac:dyDescent="0.25">
      <c r="A25" s="77" t="s">
        <v>7</v>
      </c>
      <c r="B25" s="90" t="s">
        <v>174</v>
      </c>
      <c r="C25" s="78">
        <f>SUM(C26:C34)</f>
        <v>69704.44555691928</v>
      </c>
      <c r="D25" s="79">
        <f>SUM(D26:D34)*1.05</f>
        <v>11.2819921746744</v>
      </c>
      <c r="E25" s="118">
        <f>SUM(E26:E32)</f>
        <v>785187.0524632968</v>
      </c>
      <c r="F25" s="78"/>
      <c r="G25" s="102"/>
    </row>
    <row r="26" spans="1:7" ht="13.5" customHeight="1" x14ac:dyDescent="0.25">
      <c r="A26" s="72" t="s">
        <v>10</v>
      </c>
      <c r="B26" s="107" t="s">
        <v>175</v>
      </c>
      <c r="C26" s="73">
        <v>1132.1002353069937</v>
      </c>
      <c r="D26" s="74">
        <v>0.1745102331180913</v>
      </c>
      <c r="E26" s="99">
        <v>13585.202823683925</v>
      </c>
      <c r="F26" s="73"/>
      <c r="G26" s="103"/>
    </row>
    <row r="27" spans="1:7" ht="13.5" customHeight="1" x14ac:dyDescent="0.25">
      <c r="A27" s="72" t="s">
        <v>8</v>
      </c>
      <c r="B27" s="108" t="s">
        <v>71</v>
      </c>
      <c r="C27" s="73">
        <v>2533.6467166466023</v>
      </c>
      <c r="D27" s="74">
        <v>0.39055488672430783</v>
      </c>
      <c r="E27" s="99">
        <v>30403.760599759225</v>
      </c>
      <c r="F27" s="73"/>
      <c r="G27" s="103"/>
    </row>
    <row r="28" spans="1:7" ht="13.5" customHeight="1" x14ac:dyDescent="0.25">
      <c r="A28" s="72" t="s">
        <v>13</v>
      </c>
      <c r="B28" s="107" t="s">
        <v>177</v>
      </c>
      <c r="C28" s="73">
        <v>5189.84</v>
      </c>
      <c r="D28" s="74">
        <v>0.8</v>
      </c>
      <c r="E28" s="99">
        <v>62278.080000000002</v>
      </c>
      <c r="F28" s="73"/>
      <c r="G28" s="103"/>
    </row>
    <row r="29" spans="1:7" ht="15" customHeight="1" x14ac:dyDescent="0.25">
      <c r="A29" s="72" t="s">
        <v>176</v>
      </c>
      <c r="B29" s="107" t="s">
        <v>179</v>
      </c>
      <c r="C29" s="73">
        <v>281.97273253177821</v>
      </c>
      <c r="D29" s="74">
        <v>4.3465344986632064E-2</v>
      </c>
      <c r="E29" s="99">
        <v>3383.6727903813385</v>
      </c>
      <c r="F29" s="73"/>
      <c r="G29" s="103"/>
    </row>
    <row r="30" spans="1:7" ht="15" customHeight="1" x14ac:dyDescent="0.25">
      <c r="A30" s="72" t="s">
        <v>178</v>
      </c>
      <c r="B30" s="107" t="s">
        <v>181</v>
      </c>
      <c r="C30" s="73">
        <v>1431.366619240451</v>
      </c>
      <c r="D30" s="74">
        <v>0.22064134836379556</v>
      </c>
      <c r="E30" s="99">
        <v>17176.399430885413</v>
      </c>
      <c r="F30" s="73"/>
      <c r="G30" s="103"/>
    </row>
    <row r="31" spans="1:7" ht="15" customHeight="1" x14ac:dyDescent="0.25">
      <c r="A31" s="72" t="s">
        <v>180</v>
      </c>
      <c r="B31" s="108" t="s">
        <v>205</v>
      </c>
      <c r="C31" s="73">
        <v>45.643068215575603</v>
      </c>
      <c r="D31" s="74">
        <v>7.0357572820087871E-3</v>
      </c>
      <c r="E31" s="99">
        <v>547.71681858690727</v>
      </c>
      <c r="F31" s="73"/>
      <c r="G31" s="103"/>
    </row>
    <row r="32" spans="1:7" ht="15" customHeight="1" x14ac:dyDescent="0.25">
      <c r="A32" s="72" t="s">
        <v>182</v>
      </c>
      <c r="B32" s="107" t="s">
        <v>183</v>
      </c>
      <c r="C32" s="73">
        <v>54817.684999999998</v>
      </c>
      <c r="D32" s="74">
        <v>8.4499999999999993</v>
      </c>
      <c r="E32" s="99">
        <v>657812.22</v>
      </c>
      <c r="F32" s="73"/>
      <c r="G32" s="103"/>
    </row>
    <row r="33" spans="1:17" ht="15" customHeight="1" x14ac:dyDescent="0.25">
      <c r="A33" s="72" t="s">
        <v>184</v>
      </c>
      <c r="B33" s="107" t="s">
        <v>185</v>
      </c>
      <c r="C33" s="73">
        <v>3985.1470004221455</v>
      </c>
      <c r="D33" s="74">
        <v>0.61429978580027833</v>
      </c>
      <c r="E33" s="99">
        <v>47821.76400506575</v>
      </c>
      <c r="F33" s="73"/>
      <c r="G33" s="103"/>
    </row>
    <row r="34" spans="1:17" x14ac:dyDescent="0.25">
      <c r="A34" s="72" t="s">
        <v>207</v>
      </c>
      <c r="B34" s="108" t="s">
        <v>206</v>
      </c>
      <c r="C34" s="73">
        <v>287.04418455573102</v>
      </c>
      <c r="D34" s="74">
        <v>4.4247095795744151E-2</v>
      </c>
      <c r="E34" s="99">
        <v>3444.5302146687723</v>
      </c>
      <c r="F34" s="73"/>
      <c r="G34" s="103"/>
    </row>
    <row r="35" spans="1:17" ht="15.75" customHeight="1" x14ac:dyDescent="0.25">
      <c r="A35" s="77" t="s">
        <v>11</v>
      </c>
      <c r="B35" s="91" t="s">
        <v>186</v>
      </c>
      <c r="C35" s="78">
        <f>B3*D35</f>
        <v>6387</v>
      </c>
      <c r="D35" s="79">
        <v>1</v>
      </c>
      <c r="E35" s="118">
        <f>C35*12</f>
        <v>76644</v>
      </c>
      <c r="F35" s="78"/>
      <c r="G35" s="102"/>
    </row>
    <row r="36" spans="1:17" hidden="1" x14ac:dyDescent="0.25">
      <c r="A36" s="72" t="s">
        <v>12</v>
      </c>
      <c r="B36" s="109" t="s">
        <v>187</v>
      </c>
      <c r="C36" s="73"/>
      <c r="D36" s="74">
        <f>C36/B3</f>
        <v>0</v>
      </c>
      <c r="E36" s="99">
        <f>C36*12</f>
        <v>0</v>
      </c>
      <c r="F36" s="107"/>
      <c r="G36" s="63"/>
    </row>
    <row r="37" spans="1:17" x14ac:dyDescent="0.25">
      <c r="A37" s="80"/>
      <c r="B37" s="81"/>
      <c r="C37" s="82"/>
      <c r="D37" s="83"/>
      <c r="E37" s="82"/>
      <c r="F37" s="82"/>
      <c r="G37" s="64"/>
    </row>
    <row r="38" spans="1:17" s="84" customFormat="1" ht="25.5" x14ac:dyDescent="0.25">
      <c r="A38" s="112">
        <v>1</v>
      </c>
      <c r="B38" s="109" t="s">
        <v>188</v>
      </c>
      <c r="C38" s="113">
        <f>C5</f>
        <v>75148.656999999992</v>
      </c>
      <c r="D38" s="114">
        <f>D5</f>
        <v>11.716072717610706</v>
      </c>
      <c r="E38" s="106"/>
      <c r="F38" s="85"/>
      <c r="G38" s="85"/>
    </row>
    <row r="39" spans="1:17" s="84" customFormat="1" ht="15.75" x14ac:dyDescent="0.25">
      <c r="A39" s="115" t="s">
        <v>7</v>
      </c>
      <c r="B39" s="109" t="s">
        <v>4</v>
      </c>
      <c r="C39" s="113">
        <f>C25</f>
        <v>69704.44555691928</v>
      </c>
      <c r="D39" s="114">
        <f>D25</f>
        <v>11.2819921746744</v>
      </c>
      <c r="E39" s="106"/>
      <c r="F39" s="85"/>
      <c r="G39" s="85"/>
    </row>
    <row r="40" spans="1:17" s="84" customFormat="1" ht="15.75" x14ac:dyDescent="0.25">
      <c r="A40" s="115">
        <v>3</v>
      </c>
      <c r="B40" s="109" t="s">
        <v>186</v>
      </c>
      <c r="C40" s="113">
        <f>C35</f>
        <v>6387</v>
      </c>
      <c r="D40" s="114">
        <f>D35</f>
        <v>1</v>
      </c>
      <c r="E40" s="106"/>
      <c r="F40" s="85"/>
      <c r="G40" s="85"/>
    </row>
    <row r="41" spans="1:17" ht="15.75" x14ac:dyDescent="0.25">
      <c r="A41" s="129" t="s">
        <v>1</v>
      </c>
      <c r="B41" s="130"/>
      <c r="C41" s="116">
        <f>SUM(C38:C40)</f>
        <v>151240.10255691927</v>
      </c>
      <c r="D41" s="117">
        <v>23.99</v>
      </c>
      <c r="E41" s="106"/>
    </row>
    <row r="42" spans="1:17" ht="15.75" x14ac:dyDescent="0.25">
      <c r="A42" s="122"/>
      <c r="B42" s="122"/>
      <c r="C42" s="123"/>
      <c r="D42" s="124"/>
      <c r="E42" s="106"/>
    </row>
    <row r="43" spans="1:17" s="1" customFormat="1" ht="15" customHeight="1" x14ac:dyDescent="0.25">
      <c r="A43" s="128" t="s">
        <v>138</v>
      </c>
      <c r="B43" s="128"/>
      <c r="C43" s="128"/>
      <c r="D43" s="58"/>
      <c r="E43" s="58"/>
      <c r="H43" s="34"/>
      <c r="I43" s="34"/>
      <c r="J43" s="34"/>
      <c r="K43" s="34"/>
      <c r="L43" s="34"/>
      <c r="M43" s="34"/>
      <c r="N43" s="34"/>
      <c r="O43" s="34"/>
      <c r="P43" s="34"/>
      <c r="Q43" s="34"/>
    </row>
    <row r="44" spans="1:17" s="1" customFormat="1" x14ac:dyDescent="0.25">
      <c r="A44" s="110"/>
      <c r="B44" s="111"/>
      <c r="C44" s="121"/>
      <c r="D44" s="58"/>
      <c r="E44" s="58"/>
      <c r="H44" s="34"/>
      <c r="I44" s="34"/>
      <c r="J44" s="34"/>
      <c r="K44" s="34"/>
      <c r="L44" s="34"/>
      <c r="M44" s="34"/>
      <c r="N44" s="34"/>
      <c r="O44" s="34"/>
      <c r="P44" s="34"/>
      <c r="Q44" s="34"/>
    </row>
    <row r="45" spans="1:17" s="1" customFormat="1" ht="15" customHeight="1" x14ac:dyDescent="0.25">
      <c r="A45" s="128" t="s">
        <v>139</v>
      </c>
      <c r="B45" s="128"/>
      <c r="C45" s="128"/>
      <c r="D45" s="58"/>
      <c r="E45" s="58"/>
      <c r="H45" s="34"/>
      <c r="I45" s="34"/>
      <c r="J45" s="34"/>
      <c r="K45" s="34"/>
      <c r="L45" s="34"/>
      <c r="M45" s="34"/>
      <c r="N45" s="34"/>
      <c r="O45" s="34"/>
      <c r="P45" s="34"/>
      <c r="Q45" s="34"/>
    </row>
  </sheetData>
  <mergeCells count="5">
    <mergeCell ref="A45:C45"/>
    <mergeCell ref="A41:B41"/>
    <mergeCell ref="A1:G1"/>
    <mergeCell ref="A2:G2"/>
    <mergeCell ref="A43:C43"/>
  </mergeCells>
  <printOptions horizontalCentered="1"/>
  <pageMargins left="0.25" right="0.25" top="0.75" bottom="0.75" header="0.3" footer="0.3"/>
  <pageSetup paperSize="9" scale="7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workbookViewId="0">
      <selection activeCell="C5" sqref="C5"/>
    </sheetView>
  </sheetViews>
  <sheetFormatPr defaultRowHeight="15" x14ac:dyDescent="0.25"/>
  <cols>
    <col min="1" max="1" width="11.85546875" customWidth="1"/>
    <col min="2" max="2" width="20.28515625" customWidth="1"/>
    <col min="3" max="3" width="15.7109375" customWidth="1"/>
    <col min="4" max="4" width="13.7109375" customWidth="1"/>
    <col min="5" max="5" width="15.5703125" customWidth="1"/>
  </cols>
  <sheetData>
    <row r="1" spans="1:5" x14ac:dyDescent="0.25">
      <c r="A1" s="133" t="s">
        <v>64</v>
      </c>
      <c r="B1" s="133"/>
      <c r="C1" s="133"/>
      <c r="D1" s="133"/>
      <c r="E1" s="133"/>
    </row>
    <row r="2" spans="1:5" x14ac:dyDescent="0.25">
      <c r="A2" s="45" t="s">
        <v>2</v>
      </c>
      <c r="B2" s="45" t="s">
        <v>106</v>
      </c>
      <c r="C2" s="45" t="s">
        <v>107</v>
      </c>
      <c r="D2" s="45" t="s">
        <v>108</v>
      </c>
      <c r="E2" s="45" t="s">
        <v>87</v>
      </c>
    </row>
    <row r="3" spans="1:5" x14ac:dyDescent="0.25">
      <c r="A3" s="45">
        <v>1</v>
      </c>
      <c r="B3" s="25" t="s">
        <v>109</v>
      </c>
      <c r="C3" s="47" t="e">
        <f>#REF!</f>
        <v>#REF!</v>
      </c>
      <c r="D3" s="45">
        <v>14</v>
      </c>
      <c r="E3" s="47" t="e">
        <f>C3*D3/100</f>
        <v>#REF!</v>
      </c>
    </row>
    <row r="4" spans="1:5" x14ac:dyDescent="0.25">
      <c r="A4" s="45">
        <v>2</v>
      </c>
      <c r="B4" s="25" t="s">
        <v>110</v>
      </c>
      <c r="C4" s="47" t="e">
        <f>#REF!</f>
        <v>#REF!</v>
      </c>
      <c r="D4" s="45">
        <v>6</v>
      </c>
      <c r="E4" s="47" t="e">
        <f>D4*C4/100</f>
        <v>#REF!</v>
      </c>
    </row>
    <row r="5" spans="1:5" x14ac:dyDescent="0.25">
      <c r="A5" s="45">
        <v>3</v>
      </c>
      <c r="B5" s="25" t="s">
        <v>111</v>
      </c>
      <c r="C5" s="47" t="e">
        <f>#REF!</f>
        <v>#REF!</v>
      </c>
      <c r="D5" s="45">
        <v>0.2</v>
      </c>
      <c r="E5" s="47" t="e">
        <f>C5*D5/100</f>
        <v>#REF!</v>
      </c>
    </row>
    <row r="6" spans="1:5" x14ac:dyDescent="0.25">
      <c r="A6" s="25"/>
      <c r="B6" s="25"/>
      <c r="C6" s="45"/>
      <c r="D6" s="45">
        <f>SUM(D3:D5)</f>
        <v>20.2</v>
      </c>
      <c r="E6" s="47" t="e">
        <f>SUM(E3:E5)</f>
        <v>#REF!</v>
      </c>
    </row>
  </sheetData>
  <mergeCells count="1">
    <mergeCell ref="A1:E1"/>
  </mergeCells>
  <pageMargins left="0.7" right="0.7" top="0.75" bottom="0.75" header="0.3" footer="0.3"/>
  <pageSetup paperSize="9" orientation="portrait" r:id="rId1"/>
  <ignoredErrors>
    <ignoredError sqref="E4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workbookViewId="0">
      <selection activeCell="F4" sqref="F4"/>
    </sheetView>
  </sheetViews>
  <sheetFormatPr defaultRowHeight="15" x14ac:dyDescent="0.25"/>
  <cols>
    <col min="1" max="1" width="7.140625" style="1" customWidth="1"/>
    <col min="2" max="2" width="16.140625" style="1" customWidth="1"/>
    <col min="3" max="3" width="20.42578125" style="1" customWidth="1"/>
    <col min="4" max="4" width="19.140625" style="1" customWidth="1"/>
    <col min="5" max="5" width="15.42578125" style="1" customWidth="1"/>
    <col min="6" max="6" width="10.28515625" style="1" customWidth="1"/>
    <col min="7" max="7" width="10.5703125" style="1" customWidth="1"/>
    <col min="8" max="8" width="9.140625" style="1"/>
    <col min="9" max="9" width="12.140625" style="1" customWidth="1"/>
    <col min="10" max="10" width="10" style="1" customWidth="1"/>
    <col min="11" max="16384" width="9.140625" style="1"/>
  </cols>
  <sheetData>
    <row r="1" spans="1:11" x14ac:dyDescent="0.25">
      <c r="A1" s="148" t="s">
        <v>131</v>
      </c>
      <c r="B1" s="148"/>
      <c r="C1" s="148"/>
      <c r="D1" s="148"/>
      <c r="E1" s="148"/>
      <c r="F1" s="148"/>
      <c r="G1" s="148"/>
      <c r="H1" s="148"/>
      <c r="I1" s="148"/>
      <c r="J1" s="148"/>
    </row>
    <row r="2" spans="1:11" ht="42.75" customHeight="1" x14ac:dyDescent="0.25">
      <c r="A2" s="48" t="s">
        <v>2</v>
      </c>
      <c r="B2" s="48" t="s">
        <v>106</v>
      </c>
      <c r="C2" s="48" t="s">
        <v>112</v>
      </c>
      <c r="D2" s="48" t="s">
        <v>113</v>
      </c>
      <c r="E2" s="48" t="s">
        <v>114</v>
      </c>
      <c r="F2" s="48" t="s">
        <v>115</v>
      </c>
      <c r="G2" s="48" t="s">
        <v>116</v>
      </c>
      <c r="H2" s="48" t="s">
        <v>119</v>
      </c>
      <c r="I2" s="48" t="s">
        <v>120</v>
      </c>
      <c r="J2" s="48" t="s">
        <v>121</v>
      </c>
      <c r="K2" s="46"/>
    </row>
    <row r="3" spans="1:11" x14ac:dyDescent="0.25">
      <c r="A3" s="48">
        <v>1</v>
      </c>
      <c r="B3" s="52" t="s">
        <v>117</v>
      </c>
      <c r="C3" s="48">
        <v>6000000</v>
      </c>
      <c r="D3" s="48">
        <v>2928577</v>
      </c>
      <c r="E3" s="48">
        <v>1300000</v>
      </c>
      <c r="F3" s="48">
        <v>0.5</v>
      </c>
      <c r="G3" s="4">
        <f>(C3+D3+E3)*F3/100</f>
        <v>51142.885000000002</v>
      </c>
      <c r="H3" s="48"/>
      <c r="I3" s="48"/>
      <c r="J3" s="146">
        <f>G3+I4</f>
        <v>61942.885000000002</v>
      </c>
    </row>
    <row r="4" spans="1:11" ht="30" x14ac:dyDescent="0.25">
      <c r="A4" s="48">
        <v>2</v>
      </c>
      <c r="B4" s="52" t="s">
        <v>118</v>
      </c>
      <c r="C4" s="48"/>
      <c r="D4" s="48"/>
      <c r="E4" s="48"/>
      <c r="F4" s="48"/>
      <c r="G4" s="48"/>
      <c r="H4" s="48">
        <v>900</v>
      </c>
      <c r="I4" s="49">
        <f>H4*12</f>
        <v>10800</v>
      </c>
      <c r="J4" s="147"/>
    </row>
    <row r="5" spans="1:11" x14ac:dyDescent="0.25">
      <c r="A5" s="46"/>
      <c r="B5" s="46"/>
      <c r="C5" s="46"/>
      <c r="D5" s="46"/>
      <c r="E5" s="46"/>
      <c r="F5" s="46"/>
      <c r="G5" s="46"/>
      <c r="H5" s="46"/>
      <c r="I5" s="46"/>
    </row>
    <row r="6" spans="1:11" x14ac:dyDescent="0.25">
      <c r="A6" s="46"/>
      <c r="B6" s="46"/>
      <c r="C6" s="46"/>
      <c r="D6" s="46"/>
      <c r="E6" s="46"/>
      <c r="F6" s="46"/>
      <c r="G6" s="46"/>
      <c r="H6" s="46"/>
      <c r="I6" s="46"/>
    </row>
    <row r="7" spans="1:11" x14ac:dyDescent="0.25">
      <c r="A7" s="46"/>
      <c r="B7" s="46"/>
      <c r="C7" s="46"/>
      <c r="D7" s="46"/>
      <c r="E7" s="46"/>
      <c r="F7" s="46"/>
      <c r="G7" s="46"/>
      <c r="H7" s="46"/>
      <c r="I7" s="46"/>
    </row>
    <row r="8" spans="1:11" x14ac:dyDescent="0.25">
      <c r="A8" s="46"/>
      <c r="B8" s="46"/>
      <c r="C8" s="46"/>
      <c r="D8" s="46"/>
      <c r="E8" s="46"/>
      <c r="F8" s="46"/>
      <c r="G8" s="46"/>
      <c r="H8" s="46"/>
      <c r="I8" s="46"/>
    </row>
    <row r="9" spans="1:11" x14ac:dyDescent="0.25">
      <c r="A9" s="46"/>
      <c r="B9" s="46"/>
      <c r="C9" s="46"/>
      <c r="D9" s="46"/>
      <c r="E9" s="46"/>
      <c r="F9" s="46"/>
      <c r="G9" s="46"/>
      <c r="H9" s="46"/>
      <c r="I9" s="46"/>
    </row>
    <row r="10" spans="1:11" x14ac:dyDescent="0.25">
      <c r="A10" s="46"/>
      <c r="B10" s="46"/>
      <c r="C10" s="46"/>
      <c r="D10" s="46"/>
      <c r="E10" s="46"/>
      <c r="F10" s="46"/>
      <c r="G10" s="46"/>
      <c r="H10" s="46"/>
      <c r="I10" s="46"/>
    </row>
    <row r="11" spans="1:11" x14ac:dyDescent="0.25">
      <c r="A11" s="46"/>
      <c r="B11" s="46"/>
      <c r="C11" s="46"/>
      <c r="D11" s="46"/>
      <c r="E11" s="46"/>
      <c r="F11" s="46"/>
      <c r="G11" s="46"/>
      <c r="H11" s="46"/>
      <c r="I11" s="46"/>
    </row>
    <row r="12" spans="1:11" x14ac:dyDescent="0.25">
      <c r="A12" s="46"/>
      <c r="B12" s="46"/>
      <c r="C12" s="46"/>
      <c r="D12" s="46"/>
      <c r="E12" s="46"/>
      <c r="F12" s="46"/>
      <c r="G12" s="46"/>
      <c r="H12" s="46"/>
      <c r="I12" s="46"/>
    </row>
    <row r="13" spans="1:11" x14ac:dyDescent="0.25">
      <c r="A13" s="46"/>
      <c r="B13" s="46"/>
      <c r="C13" s="46"/>
      <c r="D13" s="46"/>
      <c r="E13" s="46"/>
      <c r="F13" s="46"/>
      <c r="G13" s="46"/>
      <c r="H13" s="46"/>
      <c r="I13" s="46"/>
    </row>
    <row r="14" spans="1:11" x14ac:dyDescent="0.25">
      <c r="A14" s="46"/>
      <c r="B14" s="46"/>
      <c r="C14" s="46"/>
      <c r="D14" s="46"/>
      <c r="E14" s="46"/>
      <c r="F14" s="46"/>
      <c r="G14" s="46"/>
      <c r="H14" s="46"/>
      <c r="I14" s="46"/>
    </row>
  </sheetData>
  <mergeCells count="2">
    <mergeCell ref="J3:J4"/>
    <mergeCell ref="A1:J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21"/>
  <sheetViews>
    <sheetView topLeftCell="A7" workbookViewId="0">
      <selection activeCell="E3" sqref="E3"/>
    </sheetView>
  </sheetViews>
  <sheetFormatPr defaultRowHeight="15" x14ac:dyDescent="0.25"/>
  <cols>
    <col min="1" max="1" width="16.140625" customWidth="1"/>
    <col min="2" max="2" width="11.42578125" customWidth="1"/>
    <col min="4" max="4" width="11.5703125" customWidth="1"/>
    <col min="5" max="5" width="12.85546875" customWidth="1"/>
  </cols>
  <sheetData>
    <row r="1" spans="1:5" x14ac:dyDescent="0.25">
      <c r="A1" s="133" t="s">
        <v>3</v>
      </c>
      <c r="B1" s="133"/>
      <c r="C1" s="133"/>
      <c r="D1" s="133"/>
      <c r="E1" s="133"/>
    </row>
    <row r="2" spans="1:5" s="1" customFormat="1" ht="45" x14ac:dyDescent="0.25">
      <c r="A2" s="21" t="s">
        <v>14</v>
      </c>
      <c r="B2" s="11" t="s">
        <v>15</v>
      </c>
      <c r="C2" s="10" t="s">
        <v>16</v>
      </c>
      <c r="D2" s="10" t="s">
        <v>0</v>
      </c>
      <c r="E2" s="2" t="s">
        <v>62</v>
      </c>
    </row>
    <row r="3" spans="1:5" s="8" customFormat="1" ht="30" x14ac:dyDescent="0.25">
      <c r="A3" s="22" t="s">
        <v>25</v>
      </c>
      <c r="B3" s="13">
        <f>1/E3</f>
        <v>0.5</v>
      </c>
      <c r="C3" s="14">
        <v>1000</v>
      </c>
      <c r="D3" s="15">
        <f t="shared" ref="D3:D12" si="0">B3*C3</f>
        <v>500</v>
      </c>
      <c r="E3" s="18">
        <v>2</v>
      </c>
    </row>
    <row r="4" spans="1:5" s="1" customFormat="1" ht="30" x14ac:dyDescent="0.25">
      <c r="A4" s="3" t="s">
        <v>17</v>
      </c>
      <c r="B4" s="55">
        <f>1.5/E4</f>
        <v>5</v>
      </c>
      <c r="C4" s="15">
        <v>300</v>
      </c>
      <c r="D4" s="15">
        <f t="shared" si="0"/>
        <v>1500</v>
      </c>
      <c r="E4" s="18">
        <v>0.3</v>
      </c>
    </row>
    <row r="5" spans="1:5" s="1" customFormat="1" x14ac:dyDescent="0.25">
      <c r="A5" s="3" t="s">
        <v>18</v>
      </c>
      <c r="B5" s="13">
        <f>2/E5</f>
        <v>2</v>
      </c>
      <c r="C5" s="15">
        <v>260</v>
      </c>
      <c r="D5" s="15">
        <f t="shared" si="0"/>
        <v>520</v>
      </c>
      <c r="E5" s="18">
        <v>1</v>
      </c>
    </row>
    <row r="6" spans="1:5" s="1" customFormat="1" ht="30" x14ac:dyDescent="0.25">
      <c r="A6" s="3" t="s">
        <v>19</v>
      </c>
      <c r="B6" s="13">
        <f>2/E6</f>
        <v>2</v>
      </c>
      <c r="C6" s="15">
        <v>260</v>
      </c>
      <c r="D6" s="15">
        <f t="shared" si="0"/>
        <v>520</v>
      </c>
      <c r="E6" s="18">
        <v>1</v>
      </c>
    </row>
    <row r="7" spans="1:5" s="1" customFormat="1" ht="30" x14ac:dyDescent="0.25">
      <c r="A7" s="3" t="s">
        <v>22</v>
      </c>
      <c r="B7" s="13">
        <v>1</v>
      </c>
      <c r="C7" s="15"/>
      <c r="D7" s="15">
        <f t="shared" si="0"/>
        <v>0</v>
      </c>
      <c r="E7" s="18">
        <v>3</v>
      </c>
    </row>
    <row r="8" spans="1:5" s="1" customFormat="1" x14ac:dyDescent="0.25">
      <c r="A8" s="3" t="s">
        <v>20</v>
      </c>
      <c r="B8" s="13">
        <v>12</v>
      </c>
      <c r="C8" s="15">
        <v>80</v>
      </c>
      <c r="D8" s="15">
        <f t="shared" si="0"/>
        <v>960</v>
      </c>
      <c r="E8" s="18">
        <v>1</v>
      </c>
    </row>
    <row r="9" spans="1:5" s="1" customFormat="1" x14ac:dyDescent="0.25">
      <c r="A9" s="3" t="s">
        <v>21</v>
      </c>
      <c r="B9" s="13">
        <f>2/E9</f>
        <v>2</v>
      </c>
      <c r="C9" s="15">
        <v>250</v>
      </c>
      <c r="D9" s="15">
        <f t="shared" si="0"/>
        <v>500</v>
      </c>
      <c r="E9" s="18">
        <v>1</v>
      </c>
    </row>
    <row r="10" spans="1:5" s="1" customFormat="1" x14ac:dyDescent="0.25">
      <c r="A10" s="3" t="s">
        <v>26</v>
      </c>
      <c r="B10" s="13">
        <v>2</v>
      </c>
      <c r="C10" s="15">
        <v>100</v>
      </c>
      <c r="D10" s="15">
        <f t="shared" si="0"/>
        <v>200</v>
      </c>
      <c r="E10" s="18">
        <v>1</v>
      </c>
    </row>
    <row r="11" spans="1:5" s="1" customFormat="1" ht="33.75" customHeight="1" x14ac:dyDescent="0.25">
      <c r="A11" s="3" t="s">
        <v>23</v>
      </c>
      <c r="B11" s="13">
        <v>2</v>
      </c>
      <c r="C11" s="15">
        <v>50</v>
      </c>
      <c r="D11" s="15">
        <f t="shared" si="0"/>
        <v>100</v>
      </c>
      <c r="E11" s="18">
        <v>1</v>
      </c>
    </row>
    <row r="12" spans="1:5" s="1" customFormat="1" ht="30" x14ac:dyDescent="0.25">
      <c r="A12" s="3" t="s">
        <v>24</v>
      </c>
      <c r="B12" s="13">
        <f>6*12</f>
        <v>72</v>
      </c>
      <c r="C12" s="15">
        <v>3</v>
      </c>
      <c r="D12" s="15">
        <f t="shared" si="0"/>
        <v>216</v>
      </c>
      <c r="E12" s="18">
        <v>1</v>
      </c>
    </row>
    <row r="13" spans="1:5" s="1" customFormat="1" x14ac:dyDescent="0.25">
      <c r="A13" s="2" t="s">
        <v>32</v>
      </c>
      <c r="B13" s="16"/>
      <c r="C13" s="14"/>
      <c r="D13" s="17">
        <f>SUM(D3:D12)</f>
        <v>5016</v>
      </c>
      <c r="E13" s="3"/>
    </row>
    <row r="14" spans="1:5" s="1" customFormat="1" x14ac:dyDescent="0.25">
      <c r="A14" s="3"/>
      <c r="B14" s="13"/>
      <c r="C14" s="15"/>
      <c r="D14" s="15"/>
      <c r="E14" s="3"/>
    </row>
    <row r="15" spans="1:5" s="1" customFormat="1" x14ac:dyDescent="0.25">
      <c r="A15" s="2" t="s">
        <v>27</v>
      </c>
      <c r="B15" s="13"/>
      <c r="C15" s="15"/>
      <c r="D15" s="15"/>
      <c r="E15" s="3"/>
    </row>
    <row r="16" spans="1:5" s="1" customFormat="1" x14ac:dyDescent="0.25">
      <c r="A16" s="3" t="s">
        <v>28</v>
      </c>
      <c r="B16" s="13">
        <v>1</v>
      </c>
      <c r="C16" s="15">
        <v>500</v>
      </c>
      <c r="D16" s="15">
        <f>B16*C16</f>
        <v>500</v>
      </c>
      <c r="E16" s="3">
        <v>1</v>
      </c>
    </row>
    <row r="17" spans="1:5" s="1" customFormat="1" x14ac:dyDescent="0.25">
      <c r="A17" s="3" t="s">
        <v>29</v>
      </c>
      <c r="B17" s="27">
        <f>1/E17</f>
        <v>0.33333333333333331</v>
      </c>
      <c r="C17" s="15">
        <v>2000</v>
      </c>
      <c r="D17" s="23">
        <f>B17*C17</f>
        <v>666.66666666666663</v>
      </c>
      <c r="E17" s="3">
        <v>3</v>
      </c>
    </row>
    <row r="18" spans="1:5" s="1" customFormat="1" x14ac:dyDescent="0.25">
      <c r="A18" s="3" t="s">
        <v>30</v>
      </c>
      <c r="B18" s="27">
        <f>1/E18</f>
        <v>0.5</v>
      </c>
      <c r="C18" s="15">
        <v>300</v>
      </c>
      <c r="D18" s="15">
        <f>B18*C18</f>
        <v>150</v>
      </c>
      <c r="E18" s="3">
        <v>2</v>
      </c>
    </row>
    <row r="19" spans="1:5" s="1" customFormat="1" x14ac:dyDescent="0.25">
      <c r="A19" s="3" t="s">
        <v>31</v>
      </c>
      <c r="B19" s="27">
        <f>1/E19</f>
        <v>0.33333333333333331</v>
      </c>
      <c r="C19" s="15">
        <v>650</v>
      </c>
      <c r="D19" s="23">
        <f>B19*C19</f>
        <v>216.66666666666666</v>
      </c>
      <c r="E19" s="3">
        <v>3</v>
      </c>
    </row>
    <row r="20" spans="1:5" s="1" customFormat="1" x14ac:dyDescent="0.25">
      <c r="A20" s="3" t="s">
        <v>46</v>
      </c>
      <c r="B20" s="13">
        <v>12</v>
      </c>
      <c r="C20" s="15">
        <v>20</v>
      </c>
      <c r="D20" s="23">
        <f>B20*C20</f>
        <v>240</v>
      </c>
      <c r="E20" s="3">
        <v>1</v>
      </c>
    </row>
    <row r="21" spans="1:5" s="1" customFormat="1" x14ac:dyDescent="0.25">
      <c r="A21" s="2" t="s">
        <v>32</v>
      </c>
      <c r="B21" s="16"/>
      <c r="C21" s="14"/>
      <c r="D21" s="24">
        <f>SUM(D16:D20)</f>
        <v>1773.3333333333333</v>
      </c>
      <c r="E21" s="3"/>
    </row>
  </sheetData>
  <mergeCells count="1">
    <mergeCell ref="A1:E1"/>
  </mergeCell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I5"/>
  <sheetViews>
    <sheetView workbookViewId="0">
      <selection activeCell="C4" sqref="C4"/>
    </sheetView>
  </sheetViews>
  <sheetFormatPr defaultRowHeight="15" x14ac:dyDescent="0.25"/>
  <cols>
    <col min="2" max="2" width="13.140625" customWidth="1"/>
    <col min="4" max="4" width="16.140625" customWidth="1"/>
    <col min="5" max="5" width="13.42578125" customWidth="1"/>
  </cols>
  <sheetData>
    <row r="2" spans="1:9" ht="30" x14ac:dyDescent="0.25">
      <c r="A2" s="31" t="s">
        <v>73</v>
      </c>
      <c r="B2" s="31" t="s">
        <v>91</v>
      </c>
      <c r="C2" s="31" t="s">
        <v>77</v>
      </c>
      <c r="D2" s="31" t="s">
        <v>90</v>
      </c>
      <c r="E2" s="31" t="s">
        <v>93</v>
      </c>
      <c r="F2" s="31" t="s">
        <v>76</v>
      </c>
      <c r="G2" s="31" t="s">
        <v>79</v>
      </c>
      <c r="H2" s="31" t="s">
        <v>86</v>
      </c>
      <c r="I2" s="31" t="s">
        <v>87</v>
      </c>
    </row>
    <row r="3" spans="1:9" ht="30" x14ac:dyDescent="0.25">
      <c r="A3" s="134"/>
      <c r="B3" s="31" t="s">
        <v>92</v>
      </c>
      <c r="C3" s="31">
        <v>0.105</v>
      </c>
      <c r="D3" s="32">
        <f>27*7+72*13+50*6+34*6+24*6+21*6+20*20</f>
        <v>2299</v>
      </c>
      <c r="E3" s="32">
        <f>D3*C3</f>
        <v>241.39499999999998</v>
      </c>
      <c r="F3" s="31">
        <v>8</v>
      </c>
      <c r="G3" s="32">
        <f>E3/F3</f>
        <v>30.174374999999998</v>
      </c>
      <c r="H3" s="32">
        <v>230</v>
      </c>
      <c r="I3" s="32">
        <f>H3*G3*F3</f>
        <v>55520.85</v>
      </c>
    </row>
    <row r="4" spans="1:9" x14ac:dyDescent="0.25">
      <c r="A4" s="134"/>
      <c r="B4" s="31" t="s">
        <v>94</v>
      </c>
      <c r="C4" s="31">
        <v>0.05</v>
      </c>
      <c r="D4" s="44">
        <f>27*7+72*13+50*6+34*6+24*6+21*6+20*20</f>
        <v>2299</v>
      </c>
      <c r="E4" s="32">
        <f>D4*C4</f>
        <v>114.95</v>
      </c>
      <c r="F4" s="31">
        <v>8</v>
      </c>
      <c r="G4" s="32">
        <f>E4/F4</f>
        <v>14.36875</v>
      </c>
      <c r="H4" s="32">
        <v>230</v>
      </c>
      <c r="I4" s="32">
        <f>H4*G4*F4</f>
        <v>26438.5</v>
      </c>
    </row>
    <row r="5" spans="1:9" x14ac:dyDescent="0.25">
      <c r="A5" t="s">
        <v>1</v>
      </c>
      <c r="I5" s="43">
        <f>SUM(I3:I4)</f>
        <v>81959.350000000006</v>
      </c>
    </row>
  </sheetData>
  <mergeCells count="1">
    <mergeCell ref="A3:A4"/>
  </mergeCells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"/>
  <sheetViews>
    <sheetView workbookViewId="0">
      <selection activeCell="D5" sqref="D5"/>
    </sheetView>
  </sheetViews>
  <sheetFormatPr defaultColWidth="12.140625" defaultRowHeight="15" x14ac:dyDescent="0.25"/>
  <cols>
    <col min="1" max="1" width="16.5703125" style="1" customWidth="1"/>
    <col min="2" max="2" width="11.85546875" style="1" customWidth="1"/>
    <col min="3" max="3" width="11" style="1" customWidth="1"/>
    <col min="4" max="4" width="22" style="1" customWidth="1"/>
    <col min="5" max="5" width="24.85546875" style="1" customWidth="1"/>
    <col min="6" max="6" width="14.28515625" style="1" customWidth="1"/>
    <col min="7" max="7" width="13.5703125" style="1" customWidth="1"/>
    <col min="8" max="8" width="15.42578125" style="1" customWidth="1"/>
    <col min="9" max="9" width="14.7109375" style="1" customWidth="1"/>
    <col min="10" max="10" width="15" style="1" customWidth="1"/>
    <col min="11" max="12" width="13.28515625" style="1" customWidth="1"/>
    <col min="13" max="13" width="12.85546875" style="1" customWidth="1"/>
    <col min="14" max="14" width="15.42578125" style="1" customWidth="1"/>
    <col min="15" max="15" width="15.7109375" style="1" customWidth="1"/>
    <col min="16" max="16384" width="12.140625" style="1"/>
  </cols>
  <sheetData>
    <row r="1" spans="1:15" ht="21" x14ac:dyDescent="0.25">
      <c r="A1" s="135" t="s">
        <v>70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</row>
    <row r="2" spans="1:15" ht="57" customHeight="1" x14ac:dyDescent="0.25">
      <c r="A2" s="53" t="s">
        <v>96</v>
      </c>
      <c r="B2" s="53" t="s">
        <v>98</v>
      </c>
      <c r="C2" s="53" t="s">
        <v>85</v>
      </c>
      <c r="D2" s="53" t="s">
        <v>102</v>
      </c>
      <c r="E2" s="53" t="s">
        <v>99</v>
      </c>
      <c r="F2" s="53" t="s">
        <v>100</v>
      </c>
      <c r="G2" s="53" t="s">
        <v>101</v>
      </c>
      <c r="H2" s="53" t="s">
        <v>122</v>
      </c>
      <c r="I2" s="53" t="s">
        <v>123</v>
      </c>
      <c r="J2" s="53" t="s">
        <v>124</v>
      </c>
      <c r="K2" s="53" t="s">
        <v>103</v>
      </c>
      <c r="L2" s="53" t="s">
        <v>104</v>
      </c>
      <c r="M2" s="53" t="s">
        <v>105</v>
      </c>
      <c r="N2" s="29" t="s">
        <v>125</v>
      </c>
      <c r="O2" s="29" t="s">
        <v>126</v>
      </c>
    </row>
    <row r="3" spans="1:15" ht="21" x14ac:dyDescent="0.25">
      <c r="A3" s="53" t="s">
        <v>97</v>
      </c>
      <c r="B3" s="53">
        <v>1.1000000000000001</v>
      </c>
      <c r="C3" s="53">
        <v>2</v>
      </c>
      <c r="D3" s="53">
        <v>30.5</v>
      </c>
      <c r="E3" s="53">
        <v>190</v>
      </c>
      <c r="F3" s="54">
        <f>C3*D3*E3*B3</f>
        <v>12749.000000000002</v>
      </c>
      <c r="G3" s="54">
        <f>F3*6+(190*2*30.6*6)</f>
        <v>146262</v>
      </c>
      <c r="H3" s="136">
        <v>66</v>
      </c>
      <c r="I3" s="136">
        <v>59</v>
      </c>
      <c r="J3" s="136">
        <v>56</v>
      </c>
      <c r="K3" s="136">
        <f>100-H3-6.3</f>
        <v>27.7</v>
      </c>
      <c r="L3" s="136">
        <f>100-I3-6.3</f>
        <v>34.700000000000003</v>
      </c>
      <c r="M3" s="136">
        <f>100-J3-6.4</f>
        <v>37.6</v>
      </c>
      <c r="N3" s="137">
        <f>F4*K3/100</f>
        <v>7368.2</v>
      </c>
      <c r="O3" s="136">
        <f>N3*12</f>
        <v>88418.4</v>
      </c>
    </row>
    <row r="4" spans="1:15" ht="21" x14ac:dyDescent="0.25">
      <c r="A4" s="53" t="s">
        <v>95</v>
      </c>
      <c r="B4" s="53">
        <v>8</v>
      </c>
      <c r="C4" s="53">
        <v>2</v>
      </c>
      <c r="D4" s="53">
        <v>7</v>
      </c>
      <c r="E4" s="53">
        <v>3800</v>
      </c>
      <c r="F4" s="54">
        <f>E4*D4</f>
        <v>26600</v>
      </c>
      <c r="G4" s="54">
        <f>F4*6+(3850*7*6)</f>
        <v>321300</v>
      </c>
      <c r="H4" s="136"/>
      <c r="I4" s="136"/>
      <c r="J4" s="136"/>
      <c r="K4" s="136"/>
      <c r="L4" s="136"/>
      <c r="M4" s="136"/>
      <c r="N4" s="137"/>
      <c r="O4" s="136"/>
    </row>
    <row r="5" spans="1:15" ht="21" x14ac:dyDescent="0.25">
      <c r="A5" s="53" t="s">
        <v>1</v>
      </c>
      <c r="B5" s="53"/>
      <c r="C5" s="53"/>
      <c r="D5" s="53"/>
      <c r="E5" s="53"/>
      <c r="F5" s="51">
        <f>SUM(F3:F4)</f>
        <v>39349</v>
      </c>
      <c r="G5" s="51">
        <f>SUM(G3:G4)</f>
        <v>467562</v>
      </c>
      <c r="H5" s="136"/>
      <c r="I5" s="136"/>
      <c r="J5" s="136"/>
      <c r="K5" s="136"/>
      <c r="L5" s="136"/>
      <c r="M5" s="136"/>
      <c r="N5" s="137"/>
      <c r="O5" s="136"/>
    </row>
    <row r="6" spans="1:15" x14ac:dyDescent="0.25">
      <c r="A6" s="46"/>
      <c r="B6" s="46"/>
      <c r="C6" s="46"/>
      <c r="D6" s="46"/>
      <c r="E6" s="46"/>
      <c r="F6" s="46"/>
      <c r="G6" s="46"/>
      <c r="H6" s="46"/>
      <c r="I6" s="46"/>
      <c r="J6" s="46"/>
    </row>
    <row r="7" spans="1:15" x14ac:dyDescent="0.25">
      <c r="A7" s="46"/>
      <c r="B7" s="46"/>
      <c r="C7" s="46"/>
      <c r="D7" s="46"/>
      <c r="E7" s="46"/>
      <c r="F7" s="46"/>
      <c r="G7" s="46"/>
      <c r="H7" s="46"/>
      <c r="I7" s="46"/>
      <c r="J7" s="46"/>
    </row>
    <row r="8" spans="1:15" x14ac:dyDescent="0.25">
      <c r="A8" s="46"/>
      <c r="B8" s="46"/>
      <c r="C8" s="46"/>
      <c r="D8" s="46"/>
      <c r="E8" s="46"/>
      <c r="F8" s="46"/>
      <c r="G8" s="46"/>
      <c r="H8" s="46"/>
      <c r="I8" s="46"/>
      <c r="J8" s="46"/>
    </row>
    <row r="9" spans="1:15" x14ac:dyDescent="0.25">
      <c r="A9" s="46"/>
      <c r="B9" s="46"/>
      <c r="C9" s="46"/>
      <c r="D9" s="46"/>
      <c r="E9" s="46"/>
      <c r="F9" s="46"/>
      <c r="G9" s="46"/>
      <c r="H9" s="46"/>
      <c r="I9" s="46"/>
      <c r="J9" s="46"/>
    </row>
    <row r="10" spans="1:15" x14ac:dyDescent="0.25">
      <c r="A10" s="46"/>
      <c r="B10" s="46"/>
      <c r="C10" s="46"/>
      <c r="D10" s="46"/>
      <c r="E10" s="46"/>
      <c r="F10" s="46"/>
      <c r="G10" s="46"/>
      <c r="H10" s="46"/>
      <c r="I10" s="46"/>
      <c r="J10" s="46"/>
    </row>
    <row r="11" spans="1:15" x14ac:dyDescent="0.25">
      <c r="A11" s="46"/>
      <c r="B11" s="46"/>
      <c r="C11" s="46"/>
      <c r="D11" s="46"/>
      <c r="E11" s="46"/>
      <c r="F11" s="46"/>
      <c r="G11" s="46"/>
      <c r="H11" s="46"/>
      <c r="I11" s="46"/>
      <c r="J11" s="46"/>
    </row>
    <row r="12" spans="1:15" x14ac:dyDescent="0.25">
      <c r="A12" s="46"/>
      <c r="B12" s="46"/>
      <c r="C12" s="46"/>
      <c r="D12" s="46"/>
      <c r="E12" s="46"/>
      <c r="F12" s="46"/>
      <c r="G12" s="46"/>
      <c r="H12" s="46"/>
      <c r="I12" s="46"/>
      <c r="J12" s="46"/>
    </row>
    <row r="13" spans="1:15" x14ac:dyDescent="0.25">
      <c r="A13" s="46"/>
      <c r="B13" s="46"/>
      <c r="C13" s="46"/>
      <c r="D13" s="46"/>
      <c r="E13" s="46"/>
      <c r="F13" s="46"/>
      <c r="G13" s="46"/>
      <c r="H13" s="46"/>
      <c r="I13" s="46"/>
      <c r="J13" s="46"/>
    </row>
    <row r="14" spans="1:15" x14ac:dyDescent="0.25">
      <c r="A14" s="46"/>
      <c r="B14" s="46"/>
      <c r="C14" s="46"/>
      <c r="D14" s="46"/>
      <c r="E14" s="46"/>
      <c r="F14" s="46"/>
      <c r="G14" s="46"/>
      <c r="H14" s="46"/>
      <c r="I14" s="46"/>
      <c r="J14" s="46"/>
    </row>
    <row r="15" spans="1:15" x14ac:dyDescent="0.25">
      <c r="A15" s="46"/>
      <c r="B15" s="46"/>
      <c r="C15" s="46"/>
      <c r="D15" s="46"/>
      <c r="E15" s="46"/>
      <c r="F15" s="46"/>
      <c r="G15" s="46"/>
      <c r="H15" s="46"/>
      <c r="I15" s="46"/>
      <c r="J15" s="46"/>
    </row>
    <row r="16" spans="1:15" x14ac:dyDescent="0.25">
      <c r="A16" s="46"/>
      <c r="B16" s="46"/>
      <c r="C16" s="46"/>
      <c r="D16" s="46"/>
      <c r="E16" s="46"/>
      <c r="F16" s="46"/>
      <c r="G16" s="46"/>
      <c r="H16" s="46"/>
      <c r="I16" s="46"/>
      <c r="J16" s="46"/>
    </row>
    <row r="17" spans="1:10" x14ac:dyDescent="0.25">
      <c r="A17" s="46"/>
      <c r="B17" s="46"/>
      <c r="C17" s="46"/>
      <c r="D17" s="46"/>
      <c r="E17" s="46"/>
      <c r="F17" s="46"/>
      <c r="G17" s="46"/>
      <c r="H17" s="46"/>
      <c r="I17" s="46"/>
      <c r="J17" s="46"/>
    </row>
    <row r="18" spans="1:10" x14ac:dyDescent="0.25">
      <c r="A18" s="46"/>
      <c r="B18" s="46"/>
      <c r="C18" s="46"/>
      <c r="D18" s="46"/>
      <c r="E18" s="46"/>
      <c r="F18" s="46"/>
      <c r="G18" s="46"/>
      <c r="H18" s="46"/>
      <c r="I18" s="46"/>
      <c r="J18" s="46"/>
    </row>
  </sheetData>
  <mergeCells count="9">
    <mergeCell ref="A1:O1"/>
    <mergeCell ref="M3:M5"/>
    <mergeCell ref="N3:N5"/>
    <mergeCell ref="O3:O5"/>
    <mergeCell ref="H3:H5"/>
    <mergeCell ref="I3:I5"/>
    <mergeCell ref="J3:J5"/>
    <mergeCell ref="K3:K5"/>
    <mergeCell ref="L3:L5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5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5"/>
  <sheetViews>
    <sheetView workbookViewId="0">
      <selection activeCell="D11" sqref="D11"/>
    </sheetView>
  </sheetViews>
  <sheetFormatPr defaultRowHeight="15" x14ac:dyDescent="0.25"/>
  <cols>
    <col min="1" max="1" width="9.140625" style="1"/>
    <col min="2" max="2" width="18.42578125" style="1" customWidth="1"/>
    <col min="3" max="3" width="10.7109375" style="1" customWidth="1"/>
    <col min="4" max="4" width="9.140625" style="1"/>
    <col min="5" max="5" width="13.42578125" style="1" customWidth="1"/>
    <col min="6" max="6" width="10.5703125" style="1" bestFit="1" customWidth="1"/>
    <col min="7" max="16384" width="9.140625" style="1"/>
  </cols>
  <sheetData>
    <row r="1" spans="1:8" x14ac:dyDescent="0.25">
      <c r="A1" s="138" t="s">
        <v>5</v>
      </c>
      <c r="B1" s="138"/>
      <c r="C1" s="138"/>
      <c r="D1" s="138"/>
      <c r="E1" s="138"/>
      <c r="F1" s="138"/>
      <c r="G1" s="138"/>
      <c r="H1" s="138"/>
    </row>
    <row r="2" spans="1:8" ht="15" customHeight="1" x14ac:dyDescent="0.25">
      <c r="A2" s="145" t="s">
        <v>75</v>
      </c>
      <c r="B2" s="139"/>
      <c r="C2" s="139"/>
      <c r="D2" s="139"/>
      <c r="E2" s="139"/>
      <c r="F2" s="139"/>
      <c r="G2" s="139"/>
      <c r="H2" s="139"/>
    </row>
    <row r="3" spans="1:8" ht="30" x14ac:dyDescent="0.25">
      <c r="A3" s="31" t="s">
        <v>73</v>
      </c>
      <c r="B3" s="31" t="s">
        <v>74</v>
      </c>
      <c r="C3" s="31" t="s">
        <v>76</v>
      </c>
      <c r="D3" s="31" t="s">
        <v>77</v>
      </c>
      <c r="E3" s="31" t="s">
        <v>78</v>
      </c>
      <c r="F3" s="31" t="s">
        <v>79</v>
      </c>
      <c r="G3" s="31" t="s">
        <v>86</v>
      </c>
      <c r="H3" s="31" t="s">
        <v>87</v>
      </c>
    </row>
    <row r="4" spans="1:8" ht="30" hidden="1" customHeight="1" x14ac:dyDescent="0.25">
      <c r="A4" s="141" t="s">
        <v>82</v>
      </c>
      <c r="B4" s="40">
        <f>30*8+15+25*6+15*1</f>
        <v>420</v>
      </c>
      <c r="C4" s="40">
        <v>8</v>
      </c>
      <c r="D4" s="40">
        <v>0.1</v>
      </c>
      <c r="E4" s="40">
        <f>B4*D4</f>
        <v>42</v>
      </c>
      <c r="F4" s="41">
        <f>E4/C4</f>
        <v>5.25</v>
      </c>
      <c r="G4" s="40">
        <v>10000</v>
      </c>
      <c r="H4" s="40">
        <f>G4*F4</f>
        <v>52500</v>
      </c>
    </row>
    <row r="5" spans="1:8" x14ac:dyDescent="0.25">
      <c r="A5" s="142"/>
      <c r="B5" s="31">
        <f>30*3</f>
        <v>90</v>
      </c>
      <c r="C5" s="31">
        <v>8</v>
      </c>
      <c r="D5" s="31">
        <v>0.1</v>
      </c>
      <c r="E5" s="31">
        <f>B5*D5</f>
        <v>9</v>
      </c>
      <c r="F5" s="35">
        <f>E5/C5</f>
        <v>1.125</v>
      </c>
      <c r="G5" s="31">
        <v>0</v>
      </c>
      <c r="H5" s="31">
        <f>G5*F5</f>
        <v>0</v>
      </c>
    </row>
    <row r="6" spans="1:8" x14ac:dyDescent="0.25">
      <c r="A6" s="33"/>
      <c r="B6" s="33"/>
      <c r="C6" s="33"/>
      <c r="D6" s="33"/>
      <c r="E6" s="33"/>
      <c r="F6" s="33"/>
      <c r="G6" s="33"/>
    </row>
    <row r="7" spans="1:8" x14ac:dyDescent="0.25">
      <c r="A7" s="139" t="s">
        <v>81</v>
      </c>
      <c r="B7" s="139"/>
      <c r="C7" s="139"/>
      <c r="D7" s="139"/>
      <c r="E7" s="139"/>
      <c r="F7" s="139"/>
      <c r="G7" s="139"/>
      <c r="H7" s="139"/>
    </row>
    <row r="8" spans="1:8" ht="30" x14ac:dyDescent="0.25">
      <c r="A8" s="31" t="s">
        <v>73</v>
      </c>
      <c r="B8" s="31" t="s">
        <v>74</v>
      </c>
      <c r="C8" s="31" t="s">
        <v>76</v>
      </c>
      <c r="D8" s="31" t="s">
        <v>77</v>
      </c>
      <c r="E8" s="31" t="s">
        <v>78</v>
      </c>
      <c r="F8" s="31" t="s">
        <v>79</v>
      </c>
      <c r="G8" s="31" t="s">
        <v>86</v>
      </c>
      <c r="H8" s="31" t="s">
        <v>87</v>
      </c>
    </row>
    <row r="9" spans="1:8" ht="30" hidden="1" customHeight="1" x14ac:dyDescent="0.25">
      <c r="A9" s="134" t="s">
        <v>82</v>
      </c>
      <c r="B9" s="42">
        <f>23*29+23-29</f>
        <v>661</v>
      </c>
      <c r="C9" s="40">
        <v>8</v>
      </c>
      <c r="D9" s="40">
        <v>0.1</v>
      </c>
      <c r="E9" s="40">
        <f>B9*D9</f>
        <v>66.100000000000009</v>
      </c>
      <c r="F9" s="41">
        <f>E9/C9</f>
        <v>8.2625000000000011</v>
      </c>
      <c r="G9" s="40">
        <v>7000</v>
      </c>
      <c r="H9" s="42">
        <f>G9*F9</f>
        <v>57837.500000000007</v>
      </c>
    </row>
    <row r="10" spans="1:8" x14ac:dyDescent="0.25">
      <c r="A10" s="134"/>
      <c r="B10" s="32">
        <f>B9/3</f>
        <v>220.33333333333334</v>
      </c>
      <c r="C10" s="31">
        <v>8</v>
      </c>
      <c r="D10" s="31">
        <v>0.05</v>
      </c>
      <c r="E10" s="32">
        <f>B10*D10</f>
        <v>11.016666666666667</v>
      </c>
      <c r="F10" s="35">
        <f>E10/C10</f>
        <v>1.3770833333333334</v>
      </c>
      <c r="G10" s="31">
        <v>7000</v>
      </c>
      <c r="H10" s="32">
        <f>G10*F10</f>
        <v>9639.5833333333339</v>
      </c>
    </row>
    <row r="11" spans="1:8" x14ac:dyDescent="0.25">
      <c r="A11" s="36"/>
      <c r="B11" s="37"/>
      <c r="C11" s="36"/>
      <c r="D11" s="36"/>
      <c r="E11" s="36"/>
      <c r="F11" s="38"/>
    </row>
    <row r="12" spans="1:8" x14ac:dyDescent="0.25">
      <c r="A12" s="139" t="s">
        <v>80</v>
      </c>
      <c r="B12" s="139"/>
      <c r="C12" s="139"/>
      <c r="D12" s="139"/>
      <c r="E12" s="139"/>
      <c r="F12" s="140"/>
    </row>
    <row r="13" spans="1:8" ht="30" x14ac:dyDescent="0.25">
      <c r="A13" s="31" t="s">
        <v>73</v>
      </c>
      <c r="B13" s="31" t="s">
        <v>72</v>
      </c>
      <c r="C13" s="31" t="s">
        <v>85</v>
      </c>
      <c r="D13" s="31" t="s">
        <v>88</v>
      </c>
      <c r="E13" s="31" t="s">
        <v>87</v>
      </c>
      <c r="F13" s="31" t="s">
        <v>89</v>
      </c>
    </row>
    <row r="14" spans="1:8" ht="30" customHeight="1" x14ac:dyDescent="0.25">
      <c r="A14" s="134" t="s">
        <v>82</v>
      </c>
      <c r="B14" s="39" t="s">
        <v>83</v>
      </c>
      <c r="C14" s="31">
        <f>2*B5</f>
        <v>180</v>
      </c>
      <c r="D14" s="31">
        <v>15</v>
      </c>
      <c r="E14" s="31">
        <f>C14*D14</f>
        <v>2700</v>
      </c>
      <c r="F14" s="143">
        <f>E14+E15</f>
        <v>7200</v>
      </c>
    </row>
    <row r="15" spans="1:8" x14ac:dyDescent="0.25">
      <c r="A15" s="134"/>
      <c r="B15" s="22" t="s">
        <v>84</v>
      </c>
      <c r="C15" s="31">
        <f>15*3</f>
        <v>45</v>
      </c>
      <c r="D15" s="31">
        <v>100</v>
      </c>
      <c r="E15" s="31">
        <f>C15*D15</f>
        <v>4500</v>
      </c>
      <c r="F15" s="144"/>
    </row>
  </sheetData>
  <mergeCells count="8">
    <mergeCell ref="A1:H1"/>
    <mergeCell ref="A12:F12"/>
    <mergeCell ref="A4:A5"/>
    <mergeCell ref="A14:A15"/>
    <mergeCell ref="F14:F15"/>
    <mergeCell ref="A2:H2"/>
    <mergeCell ref="A9:A10"/>
    <mergeCell ref="A7:H7"/>
  </mergeCells>
  <pageMargins left="0.7" right="0.7" top="0.75" bottom="0.75" header="0.3" footer="0.3"/>
  <pageSetup paperSize="9" orientation="landscape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topLeftCell="A7" workbookViewId="0">
      <selection activeCell="C19" sqref="C19"/>
    </sheetView>
  </sheetViews>
  <sheetFormatPr defaultRowHeight="15" x14ac:dyDescent="0.25"/>
  <cols>
    <col min="1" max="1" width="17.85546875" customWidth="1"/>
    <col min="2" max="2" width="12.42578125" customWidth="1"/>
    <col min="4" max="4" width="12.28515625" customWidth="1"/>
    <col min="5" max="5" width="12.85546875" customWidth="1"/>
  </cols>
  <sheetData>
    <row r="1" spans="1:5" x14ac:dyDescent="0.25">
      <c r="A1" s="133" t="s">
        <v>127</v>
      </c>
      <c r="B1" s="133"/>
      <c r="C1" s="133"/>
      <c r="D1" s="133"/>
      <c r="E1" s="133"/>
    </row>
    <row r="2" spans="1:5" s="1" customFormat="1" ht="36" customHeight="1" x14ac:dyDescent="0.25">
      <c r="A2" s="21" t="s">
        <v>63</v>
      </c>
      <c r="B2" s="11" t="s">
        <v>15</v>
      </c>
      <c r="C2" s="10" t="s">
        <v>16</v>
      </c>
      <c r="D2" s="10" t="s">
        <v>0</v>
      </c>
      <c r="E2" s="2" t="s">
        <v>62</v>
      </c>
    </row>
    <row r="3" spans="1:5" s="1" customFormat="1" ht="16.5" customHeight="1" x14ac:dyDescent="0.25">
      <c r="A3" s="22" t="s">
        <v>44</v>
      </c>
      <c r="B3" s="7">
        <v>7</v>
      </c>
      <c r="C3" s="18">
        <v>100</v>
      </c>
      <c r="D3" s="3">
        <f t="shared" ref="D3:D15" si="0">B3*C3</f>
        <v>700</v>
      </c>
      <c r="E3" s="3">
        <v>1</v>
      </c>
    </row>
    <row r="4" spans="1:5" s="1" customFormat="1" x14ac:dyDescent="0.25">
      <c r="A4" s="22" t="s">
        <v>61</v>
      </c>
      <c r="B4" s="7">
        <f>4/E4</f>
        <v>2</v>
      </c>
      <c r="C4" s="18">
        <v>105</v>
      </c>
      <c r="D4" s="3">
        <f t="shared" si="0"/>
        <v>210</v>
      </c>
      <c r="E4" s="3">
        <v>2</v>
      </c>
    </row>
    <row r="5" spans="1:5" s="1" customFormat="1" x14ac:dyDescent="0.25">
      <c r="A5" s="22" t="s">
        <v>45</v>
      </c>
      <c r="B5" s="7">
        <v>5</v>
      </c>
      <c r="C5" s="18">
        <v>260</v>
      </c>
      <c r="D5" s="3">
        <f t="shared" si="0"/>
        <v>1300</v>
      </c>
      <c r="E5" s="3">
        <v>1</v>
      </c>
    </row>
    <row r="6" spans="1:5" s="1" customFormat="1" ht="30" x14ac:dyDescent="0.25">
      <c r="A6" s="22" t="s">
        <v>55</v>
      </c>
      <c r="B6" s="7">
        <f>60/E6</f>
        <v>30</v>
      </c>
      <c r="C6" s="18">
        <v>30</v>
      </c>
      <c r="D6" s="3">
        <f t="shared" si="0"/>
        <v>900</v>
      </c>
      <c r="E6" s="3">
        <v>2</v>
      </c>
    </row>
    <row r="7" spans="1:5" s="1" customFormat="1" x14ac:dyDescent="0.25">
      <c r="A7" s="22" t="s">
        <v>56</v>
      </c>
      <c r="B7" s="7">
        <v>3</v>
      </c>
      <c r="C7" s="18">
        <v>11</v>
      </c>
      <c r="D7" s="3">
        <f t="shared" si="0"/>
        <v>33</v>
      </c>
      <c r="E7" s="3">
        <v>1</v>
      </c>
    </row>
    <row r="8" spans="1:5" s="1" customFormat="1" ht="31.5" customHeight="1" x14ac:dyDescent="0.25">
      <c r="A8" s="3" t="s">
        <v>47</v>
      </c>
      <c r="B8" s="7">
        <v>15</v>
      </c>
      <c r="C8" s="3">
        <v>30</v>
      </c>
      <c r="D8" s="3">
        <f t="shared" si="0"/>
        <v>450</v>
      </c>
      <c r="E8" s="3">
        <v>1</v>
      </c>
    </row>
    <row r="9" spans="1:5" s="1" customFormat="1" ht="35.25" customHeight="1" x14ac:dyDescent="0.25">
      <c r="A9" s="3" t="s">
        <v>48</v>
      </c>
      <c r="B9" s="7">
        <v>25</v>
      </c>
      <c r="C9" s="3">
        <v>38</v>
      </c>
      <c r="D9" s="3">
        <f t="shared" si="0"/>
        <v>950</v>
      </c>
      <c r="E9" s="3">
        <v>1</v>
      </c>
    </row>
    <row r="10" spans="1:5" s="1" customFormat="1" ht="30" x14ac:dyDescent="0.25">
      <c r="A10" s="3" t="s">
        <v>50</v>
      </c>
      <c r="B10" s="7">
        <v>10</v>
      </c>
      <c r="C10" s="3">
        <v>25</v>
      </c>
      <c r="D10" s="3">
        <f t="shared" si="0"/>
        <v>250</v>
      </c>
      <c r="E10" s="3">
        <v>1</v>
      </c>
    </row>
    <row r="11" spans="1:5" s="1" customFormat="1" ht="19.5" customHeight="1" x14ac:dyDescent="0.25">
      <c r="A11" s="3" t="s">
        <v>49</v>
      </c>
      <c r="B11" s="7">
        <v>12</v>
      </c>
      <c r="C11" s="3">
        <v>40</v>
      </c>
      <c r="D11" s="3">
        <f t="shared" si="0"/>
        <v>480</v>
      </c>
      <c r="E11" s="3">
        <v>1</v>
      </c>
    </row>
    <row r="12" spans="1:5" s="1" customFormat="1" x14ac:dyDescent="0.25">
      <c r="A12" s="3" t="s">
        <v>51</v>
      </c>
      <c r="B12" s="7">
        <v>15</v>
      </c>
      <c r="C12" s="3">
        <v>40</v>
      </c>
      <c r="D12" s="3">
        <f t="shared" si="0"/>
        <v>600</v>
      </c>
      <c r="E12" s="3">
        <v>1</v>
      </c>
    </row>
    <row r="13" spans="1:5" s="1" customFormat="1" x14ac:dyDescent="0.25">
      <c r="A13" s="3" t="s">
        <v>52</v>
      </c>
      <c r="B13" s="7">
        <v>20</v>
      </c>
      <c r="C13" s="3">
        <v>20</v>
      </c>
      <c r="D13" s="3">
        <f t="shared" si="0"/>
        <v>400</v>
      </c>
      <c r="E13" s="3">
        <v>1</v>
      </c>
    </row>
    <row r="14" spans="1:5" s="1" customFormat="1" x14ac:dyDescent="0.25">
      <c r="A14" s="3" t="s">
        <v>53</v>
      </c>
      <c r="B14" s="7">
        <v>6</v>
      </c>
      <c r="C14" s="3">
        <v>15</v>
      </c>
      <c r="D14" s="3">
        <f t="shared" si="0"/>
        <v>90</v>
      </c>
      <c r="E14" s="3">
        <v>1</v>
      </c>
    </row>
    <row r="15" spans="1:5" s="1" customFormat="1" ht="17.25" customHeight="1" x14ac:dyDescent="0.25">
      <c r="A15" s="3" t="s">
        <v>54</v>
      </c>
      <c r="B15" s="7">
        <v>3</v>
      </c>
      <c r="C15" s="3">
        <v>50</v>
      </c>
      <c r="D15" s="3">
        <f t="shared" si="0"/>
        <v>150</v>
      </c>
      <c r="E15" s="3">
        <v>1</v>
      </c>
    </row>
    <row r="16" spans="1:5" s="1" customFormat="1" x14ac:dyDescent="0.25">
      <c r="A16" s="2" t="s">
        <v>32</v>
      </c>
      <c r="B16" s="19"/>
      <c r="C16" s="2"/>
      <c r="D16" s="2">
        <f>SUM(D3:D15)</f>
        <v>6513</v>
      </c>
      <c r="E16" s="3"/>
    </row>
    <row r="17" spans="1:5" s="1" customFormat="1" ht="16.5" customHeight="1" x14ac:dyDescent="0.25">
      <c r="A17" s="2" t="s">
        <v>27</v>
      </c>
      <c r="B17" s="7"/>
      <c r="C17" s="3"/>
      <c r="D17" s="3"/>
      <c r="E17" s="3"/>
    </row>
    <row r="18" spans="1:5" s="1" customFormat="1" x14ac:dyDescent="0.25">
      <c r="A18" s="3" t="s">
        <v>57</v>
      </c>
      <c r="B18" s="7">
        <v>1</v>
      </c>
      <c r="C18" s="3">
        <v>500</v>
      </c>
      <c r="D18" s="3">
        <f>B18*C18</f>
        <v>500</v>
      </c>
      <c r="E18" s="3">
        <v>1</v>
      </c>
    </row>
    <row r="19" spans="1:5" s="1" customFormat="1" x14ac:dyDescent="0.25">
      <c r="A19" s="3" t="s">
        <v>58</v>
      </c>
      <c r="B19" s="28">
        <f>1/E19</f>
        <v>0.33333333333333331</v>
      </c>
      <c r="C19" s="3">
        <v>1000</v>
      </c>
      <c r="D19" s="5">
        <f>B19*C19</f>
        <v>333.33333333333331</v>
      </c>
      <c r="E19" s="3">
        <v>3</v>
      </c>
    </row>
    <row r="20" spans="1:5" s="1" customFormat="1" x14ac:dyDescent="0.25">
      <c r="A20" s="3" t="s">
        <v>59</v>
      </c>
      <c r="B20" s="28">
        <f t="shared" ref="B20:B21" si="1">1/E20</f>
        <v>0.33333333333333331</v>
      </c>
      <c r="C20" s="3">
        <v>500</v>
      </c>
      <c r="D20" s="5">
        <f>B20*C20</f>
        <v>166.66666666666666</v>
      </c>
      <c r="E20" s="3">
        <v>3</v>
      </c>
    </row>
    <row r="21" spans="1:5" s="1" customFormat="1" x14ac:dyDescent="0.25">
      <c r="A21" s="3" t="s">
        <v>30</v>
      </c>
      <c r="B21" s="28">
        <f t="shared" si="1"/>
        <v>0.33333333333333331</v>
      </c>
      <c r="C21" s="3">
        <v>300</v>
      </c>
      <c r="D21" s="3">
        <f>B21*C21</f>
        <v>100</v>
      </c>
      <c r="E21" s="3">
        <v>3</v>
      </c>
    </row>
    <row r="22" spans="1:5" s="1" customFormat="1" x14ac:dyDescent="0.25">
      <c r="A22" s="3" t="s">
        <v>60</v>
      </c>
      <c r="B22" s="7">
        <v>1</v>
      </c>
      <c r="C22" s="3">
        <v>150</v>
      </c>
      <c r="D22" s="5">
        <f>B22*C22</f>
        <v>150</v>
      </c>
      <c r="E22" s="3">
        <v>1</v>
      </c>
    </row>
    <row r="23" spans="1:5" s="1" customFormat="1" x14ac:dyDescent="0.25">
      <c r="A23" s="2" t="s">
        <v>32</v>
      </c>
      <c r="B23" s="19"/>
      <c r="C23" s="2"/>
      <c r="D23" s="6">
        <f>SUM(D18:D22)</f>
        <v>1250</v>
      </c>
      <c r="E23" s="25"/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workbookViewId="0">
      <selection activeCell="B7" sqref="B7"/>
    </sheetView>
  </sheetViews>
  <sheetFormatPr defaultRowHeight="15" x14ac:dyDescent="0.25"/>
  <cols>
    <col min="1" max="1" width="18" customWidth="1"/>
    <col min="4" max="4" width="11.42578125" customWidth="1"/>
    <col min="5" max="5" width="13" customWidth="1"/>
  </cols>
  <sheetData>
    <row r="1" spans="1:5" x14ac:dyDescent="0.25">
      <c r="A1" s="133" t="s">
        <v>128</v>
      </c>
      <c r="B1" s="133"/>
      <c r="C1" s="133"/>
      <c r="D1" s="133"/>
      <c r="E1" s="133"/>
    </row>
    <row r="2" spans="1:5" s="1" customFormat="1" ht="30" x14ac:dyDescent="0.25">
      <c r="A2" s="21" t="s">
        <v>40</v>
      </c>
      <c r="B2" s="11" t="s">
        <v>15</v>
      </c>
      <c r="C2" s="10" t="s">
        <v>16</v>
      </c>
      <c r="D2" s="10" t="s">
        <v>0</v>
      </c>
      <c r="E2" s="2" t="s">
        <v>62</v>
      </c>
    </row>
    <row r="3" spans="1:5" s="1" customFormat="1" x14ac:dyDescent="0.25">
      <c r="A3" s="26" t="s">
        <v>41</v>
      </c>
      <c r="B3" s="20">
        <v>6</v>
      </c>
      <c r="C3" s="18">
        <v>1000</v>
      </c>
      <c r="D3" s="3">
        <f>B3*C3</f>
        <v>6000</v>
      </c>
      <c r="E3" s="3">
        <v>1</v>
      </c>
    </row>
    <row r="4" spans="1:5" s="1" customFormat="1" x14ac:dyDescent="0.25">
      <c r="A4" s="26" t="s">
        <v>132</v>
      </c>
      <c r="B4" s="20">
        <v>15</v>
      </c>
      <c r="C4" s="18">
        <v>100</v>
      </c>
      <c r="D4" s="3">
        <f>B4*C4</f>
        <v>1500</v>
      </c>
      <c r="E4" s="3">
        <v>1</v>
      </c>
    </row>
    <row r="5" spans="1:5" s="1" customFormat="1" x14ac:dyDescent="0.25">
      <c r="A5" s="12" t="s">
        <v>42</v>
      </c>
      <c r="B5" s="20">
        <v>250</v>
      </c>
      <c r="C5" s="3">
        <v>20</v>
      </c>
      <c r="D5" s="3">
        <f>B5*C5</f>
        <v>5000</v>
      </c>
      <c r="E5" s="3">
        <v>1</v>
      </c>
    </row>
    <row r="6" spans="1:5" s="1" customFormat="1" x14ac:dyDescent="0.25">
      <c r="A6" s="12" t="s">
        <v>43</v>
      </c>
      <c r="B6" s="20">
        <v>3</v>
      </c>
      <c r="C6" s="3">
        <v>250</v>
      </c>
      <c r="D6" s="3">
        <f>B6*C6</f>
        <v>750</v>
      </c>
      <c r="E6" s="3">
        <v>1</v>
      </c>
    </row>
    <row r="7" spans="1:5" s="1" customFormat="1" x14ac:dyDescent="0.25">
      <c r="A7" s="2" t="s">
        <v>32</v>
      </c>
      <c r="B7" s="19"/>
      <c r="C7" s="2">
        <f>SUM(C3:C6)</f>
        <v>1370</v>
      </c>
      <c r="D7" s="2">
        <f>SUM(D3:D6)</f>
        <v>13250</v>
      </c>
      <c r="E7" s="3"/>
    </row>
  </sheetData>
  <mergeCells count="1">
    <mergeCell ref="A1:E1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workbookViewId="0">
      <selection activeCell="D11" sqref="D11"/>
    </sheetView>
  </sheetViews>
  <sheetFormatPr defaultRowHeight="15" x14ac:dyDescent="0.25"/>
  <cols>
    <col min="1" max="1" width="19.140625" customWidth="1"/>
    <col min="2" max="2" width="11.42578125" customWidth="1"/>
    <col min="4" max="4" width="10.85546875" customWidth="1"/>
  </cols>
  <sheetData>
    <row r="1" spans="1:5" x14ac:dyDescent="0.25">
      <c r="A1" s="133" t="s">
        <v>129</v>
      </c>
      <c r="B1" s="133"/>
      <c r="C1" s="133"/>
      <c r="D1" s="133"/>
      <c r="E1" s="133"/>
    </row>
    <row r="2" spans="1:5" s="1" customFormat="1" ht="45" x14ac:dyDescent="0.25">
      <c r="A2" s="21" t="s">
        <v>33</v>
      </c>
      <c r="B2" s="11" t="s">
        <v>15</v>
      </c>
      <c r="C2" s="10" t="s">
        <v>16</v>
      </c>
      <c r="D2" s="10" t="s">
        <v>0</v>
      </c>
      <c r="E2" s="2" t="s">
        <v>62</v>
      </c>
    </row>
    <row r="3" spans="1:5" s="1" customFormat="1" x14ac:dyDescent="0.25">
      <c r="A3" s="22" t="s">
        <v>65</v>
      </c>
      <c r="B3" s="13">
        <v>25</v>
      </c>
      <c r="C3" s="13">
        <v>55</v>
      </c>
      <c r="D3" s="15">
        <f>B3*C3</f>
        <v>1375</v>
      </c>
      <c r="E3" s="3">
        <v>0.2</v>
      </c>
    </row>
    <row r="4" spans="1:5" s="1" customFormat="1" x14ac:dyDescent="0.25">
      <c r="A4" s="22" t="s">
        <v>66</v>
      </c>
      <c r="B4" s="3">
        <v>50</v>
      </c>
      <c r="C4" s="3">
        <v>39</v>
      </c>
      <c r="D4" s="15">
        <f t="shared" ref="D4:D8" si="0">B4*C4</f>
        <v>1950</v>
      </c>
      <c r="E4" s="3">
        <v>0.2</v>
      </c>
    </row>
    <row r="5" spans="1:5" s="1" customFormat="1" x14ac:dyDescent="0.25">
      <c r="A5" s="3" t="s">
        <v>67</v>
      </c>
      <c r="B5" s="13">
        <v>25</v>
      </c>
      <c r="C5" s="13">
        <v>18</v>
      </c>
      <c r="D5" s="15">
        <f t="shared" si="0"/>
        <v>450</v>
      </c>
      <c r="E5" s="3">
        <v>0.2</v>
      </c>
    </row>
    <row r="6" spans="1:5" s="1" customFormat="1" x14ac:dyDescent="0.25">
      <c r="A6" s="3" t="s">
        <v>68</v>
      </c>
      <c r="B6" s="13">
        <f>200/E6</f>
        <v>1000</v>
      </c>
      <c r="C6" s="13">
        <v>10</v>
      </c>
      <c r="D6" s="15">
        <f t="shared" si="0"/>
        <v>10000</v>
      </c>
      <c r="E6" s="3">
        <v>0.2</v>
      </c>
    </row>
    <row r="7" spans="1:5" s="1" customFormat="1" x14ac:dyDescent="0.25">
      <c r="A7" s="3" t="s">
        <v>69</v>
      </c>
      <c r="B7" s="13">
        <v>10</v>
      </c>
      <c r="C7" s="13">
        <v>15</v>
      </c>
      <c r="D7" s="15">
        <f t="shared" si="0"/>
        <v>150</v>
      </c>
      <c r="E7" s="3">
        <v>0.2</v>
      </c>
    </row>
    <row r="8" spans="1:5" s="1" customFormat="1" x14ac:dyDescent="0.25">
      <c r="A8" s="3" t="s">
        <v>34</v>
      </c>
      <c r="B8" s="13">
        <f>1*12</f>
        <v>12</v>
      </c>
      <c r="C8" s="13">
        <v>100</v>
      </c>
      <c r="D8" s="15">
        <f t="shared" si="0"/>
        <v>1200</v>
      </c>
      <c r="E8" s="3">
        <v>0.2</v>
      </c>
    </row>
    <row r="9" spans="1:5" s="1" customFormat="1" x14ac:dyDescent="0.25">
      <c r="A9" s="12" t="s">
        <v>36</v>
      </c>
      <c r="B9" s="13">
        <v>2</v>
      </c>
      <c r="C9" s="13">
        <v>500</v>
      </c>
      <c r="D9" s="15">
        <f>B8*C8</f>
        <v>1200</v>
      </c>
      <c r="E9" s="3">
        <v>1</v>
      </c>
    </row>
    <row r="10" spans="1:5" s="1" customFormat="1" x14ac:dyDescent="0.25">
      <c r="A10" s="2" t="s">
        <v>32</v>
      </c>
      <c r="B10" s="16"/>
      <c r="C10" s="17">
        <f>SUM(C3:C9)</f>
        <v>737</v>
      </c>
      <c r="D10" s="17">
        <v>15000</v>
      </c>
      <c r="E10" s="3"/>
    </row>
    <row r="11" spans="1:5" s="1" customFormat="1" x14ac:dyDescent="0.25">
      <c r="A11" s="3"/>
      <c r="B11" s="13"/>
      <c r="C11" s="15"/>
      <c r="D11" s="15"/>
      <c r="E11" s="3"/>
    </row>
    <row r="12" spans="1:5" s="1" customFormat="1" x14ac:dyDescent="0.25">
      <c r="A12" s="2" t="s">
        <v>27</v>
      </c>
      <c r="B12" s="13"/>
      <c r="C12" s="15"/>
      <c r="D12" s="15"/>
      <c r="E12" s="3"/>
    </row>
    <row r="13" spans="1:5" s="1" customFormat="1" x14ac:dyDescent="0.25">
      <c r="A13" s="3" t="s">
        <v>28</v>
      </c>
      <c r="B13" s="13">
        <v>1</v>
      </c>
      <c r="C13" s="15">
        <v>300</v>
      </c>
      <c r="D13" s="15">
        <f>B13*C13</f>
        <v>300</v>
      </c>
      <c r="E13" s="3">
        <v>1</v>
      </c>
    </row>
    <row r="14" spans="1:5" s="1" customFormat="1" x14ac:dyDescent="0.25">
      <c r="A14" s="3" t="s">
        <v>29</v>
      </c>
      <c r="B14" s="27">
        <f>1/E14</f>
        <v>0.33333333333333331</v>
      </c>
      <c r="C14" s="15">
        <v>1300</v>
      </c>
      <c r="D14" s="23">
        <f>B14*C14</f>
        <v>433.33333333333331</v>
      </c>
      <c r="E14" s="3">
        <v>3</v>
      </c>
    </row>
    <row r="15" spans="1:5" s="1" customFormat="1" x14ac:dyDescent="0.25">
      <c r="A15" s="3" t="s">
        <v>30</v>
      </c>
      <c r="B15" s="27">
        <f>1/E15</f>
        <v>0.33333333333333331</v>
      </c>
      <c r="C15" s="15">
        <v>150</v>
      </c>
      <c r="D15" s="15">
        <f>B15*C15</f>
        <v>50</v>
      </c>
      <c r="E15" s="3">
        <v>3</v>
      </c>
    </row>
    <row r="16" spans="1:5" s="1" customFormat="1" x14ac:dyDescent="0.25">
      <c r="A16" s="3" t="s">
        <v>31</v>
      </c>
      <c r="B16" s="27">
        <f>1/E16</f>
        <v>0.33333333333333331</v>
      </c>
      <c r="C16" s="15">
        <v>650</v>
      </c>
      <c r="D16" s="23">
        <f>B16*C16</f>
        <v>216.66666666666666</v>
      </c>
      <c r="E16" s="3">
        <v>3</v>
      </c>
    </row>
    <row r="17" spans="1:5" s="1" customFormat="1" x14ac:dyDescent="0.25">
      <c r="A17" s="2" t="s">
        <v>32</v>
      </c>
      <c r="B17" s="16"/>
      <c r="C17" s="17">
        <f>SUM(C13:C16)</f>
        <v>2400</v>
      </c>
      <c r="D17" s="24">
        <v>0</v>
      </c>
      <c r="E17" s="3"/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topLeftCell="A16" workbookViewId="0">
      <selection activeCell="C33" sqref="C33"/>
    </sheetView>
  </sheetViews>
  <sheetFormatPr defaultRowHeight="15" x14ac:dyDescent="0.25"/>
  <cols>
    <col min="1" max="1" width="22.7109375" customWidth="1"/>
    <col min="2" max="2" width="17.28515625" customWidth="1"/>
    <col min="4" max="4" width="12" customWidth="1"/>
    <col min="5" max="5" width="13.85546875" customWidth="1"/>
  </cols>
  <sheetData>
    <row r="1" spans="1:5" x14ac:dyDescent="0.25">
      <c r="A1" s="133" t="s">
        <v>130</v>
      </c>
      <c r="B1" s="133"/>
      <c r="C1" s="133"/>
      <c r="D1" s="133"/>
      <c r="E1" s="133"/>
    </row>
    <row r="2" spans="1:5" s="1" customFormat="1" ht="30" x14ac:dyDescent="0.25">
      <c r="A2" s="49" t="s">
        <v>35</v>
      </c>
      <c r="B2" s="50" t="s">
        <v>15</v>
      </c>
      <c r="C2" s="49" t="s">
        <v>16</v>
      </c>
      <c r="D2" s="49" t="s">
        <v>0</v>
      </c>
      <c r="E2" s="49" t="s">
        <v>62</v>
      </c>
    </row>
    <row r="3" spans="1:5" s="1" customFormat="1" x14ac:dyDescent="0.25">
      <c r="A3" s="22"/>
      <c r="B3" s="13">
        <f>5/E3</f>
        <v>2.5</v>
      </c>
      <c r="C3" s="14">
        <v>140</v>
      </c>
      <c r="D3" s="15">
        <f t="shared" ref="D3:D22" si="0">B3*C3</f>
        <v>350</v>
      </c>
      <c r="E3" s="3">
        <v>2</v>
      </c>
    </row>
    <row r="4" spans="1:5" s="1" customFormat="1" x14ac:dyDescent="0.25">
      <c r="A4" s="22"/>
      <c r="B4" s="13">
        <f>10/E4</f>
        <v>5</v>
      </c>
      <c r="C4" s="14">
        <v>30</v>
      </c>
      <c r="D4" s="15">
        <f t="shared" si="0"/>
        <v>150</v>
      </c>
      <c r="E4" s="3">
        <v>2</v>
      </c>
    </row>
    <row r="5" spans="1:5" s="1" customFormat="1" x14ac:dyDescent="0.25">
      <c r="A5" s="22"/>
      <c r="B5" s="13">
        <f>6/E5</f>
        <v>3</v>
      </c>
      <c r="C5" s="14">
        <v>180</v>
      </c>
      <c r="D5" s="15">
        <f t="shared" si="0"/>
        <v>540</v>
      </c>
      <c r="E5" s="3">
        <v>2</v>
      </c>
    </row>
    <row r="6" spans="1:5" s="1" customFormat="1" x14ac:dyDescent="0.25">
      <c r="A6" s="22"/>
      <c r="B6" s="13">
        <f>16/E6</f>
        <v>8</v>
      </c>
      <c r="C6" s="14">
        <v>45</v>
      </c>
      <c r="D6" s="15">
        <f t="shared" si="0"/>
        <v>360</v>
      </c>
      <c r="E6" s="3">
        <v>2</v>
      </c>
    </row>
    <row r="7" spans="1:5" s="1" customFormat="1" x14ac:dyDescent="0.25">
      <c r="A7" s="22"/>
      <c r="B7" s="13">
        <v>12</v>
      </c>
      <c r="C7" s="14">
        <v>6</v>
      </c>
      <c r="D7" s="15">
        <f t="shared" si="0"/>
        <v>72</v>
      </c>
      <c r="E7" s="3">
        <v>1</v>
      </c>
    </row>
    <row r="8" spans="1:5" s="1" customFormat="1" x14ac:dyDescent="0.25">
      <c r="A8" s="22"/>
      <c r="B8" s="13">
        <v>10</v>
      </c>
      <c r="C8" s="14">
        <v>6</v>
      </c>
      <c r="D8" s="15">
        <f t="shared" si="0"/>
        <v>60</v>
      </c>
      <c r="E8" s="3">
        <v>1</v>
      </c>
    </row>
    <row r="9" spans="1:5" s="1" customFormat="1" x14ac:dyDescent="0.25">
      <c r="A9" s="22"/>
      <c r="B9" s="13">
        <f>4/E9</f>
        <v>2</v>
      </c>
      <c r="C9" s="14">
        <v>190</v>
      </c>
      <c r="D9" s="15">
        <f t="shared" si="0"/>
        <v>380</v>
      </c>
      <c r="E9" s="3">
        <v>2</v>
      </c>
    </row>
    <row r="10" spans="1:5" s="1" customFormat="1" x14ac:dyDescent="0.25">
      <c r="A10" s="22"/>
      <c r="B10" s="13">
        <f>24/E10</f>
        <v>12</v>
      </c>
      <c r="C10" s="14">
        <v>300</v>
      </c>
      <c r="D10" s="15">
        <f t="shared" si="0"/>
        <v>3600</v>
      </c>
      <c r="E10" s="3">
        <v>2</v>
      </c>
    </row>
    <row r="11" spans="1:5" s="1" customFormat="1" x14ac:dyDescent="0.25">
      <c r="A11" s="22"/>
      <c r="B11" s="13">
        <v>4</v>
      </c>
      <c r="C11" s="14">
        <v>400</v>
      </c>
      <c r="D11" s="15">
        <f t="shared" si="0"/>
        <v>1600</v>
      </c>
      <c r="E11" s="3">
        <v>1</v>
      </c>
    </row>
    <row r="12" spans="1:5" s="1" customFormat="1" x14ac:dyDescent="0.25">
      <c r="A12" s="22"/>
      <c r="B12" s="13">
        <v>6</v>
      </c>
      <c r="C12" s="14">
        <v>15</v>
      </c>
      <c r="D12" s="15">
        <f t="shared" si="0"/>
        <v>90</v>
      </c>
      <c r="E12" s="3">
        <v>1</v>
      </c>
    </row>
    <row r="13" spans="1:5" s="1" customFormat="1" x14ac:dyDescent="0.25">
      <c r="A13" s="22"/>
      <c r="B13" s="13">
        <v>10</v>
      </c>
      <c r="C13" s="14">
        <v>10</v>
      </c>
      <c r="D13" s="15">
        <f t="shared" si="0"/>
        <v>100</v>
      </c>
      <c r="E13" s="3">
        <v>1</v>
      </c>
    </row>
    <row r="14" spans="1:5" s="1" customFormat="1" x14ac:dyDescent="0.25">
      <c r="A14" s="22"/>
      <c r="B14" s="13">
        <v>10</v>
      </c>
      <c r="C14" s="14">
        <v>13</v>
      </c>
      <c r="D14" s="15">
        <f t="shared" si="0"/>
        <v>130</v>
      </c>
      <c r="E14" s="3">
        <v>1</v>
      </c>
    </row>
    <row r="15" spans="1:5" s="1" customFormat="1" x14ac:dyDescent="0.25">
      <c r="A15" s="22"/>
      <c r="B15" s="13">
        <v>4</v>
      </c>
      <c r="C15" s="14">
        <v>40</v>
      </c>
      <c r="D15" s="15">
        <f t="shared" si="0"/>
        <v>160</v>
      </c>
      <c r="E15" s="3">
        <v>1</v>
      </c>
    </row>
    <row r="16" spans="1:5" s="1" customFormat="1" x14ac:dyDescent="0.25">
      <c r="A16" s="22"/>
      <c r="B16" s="13">
        <f>40/E16</f>
        <v>20</v>
      </c>
      <c r="C16" s="14">
        <v>45</v>
      </c>
      <c r="D16" s="15">
        <f t="shared" si="0"/>
        <v>900</v>
      </c>
      <c r="E16" s="3">
        <v>2</v>
      </c>
    </row>
    <row r="17" spans="1:5" s="1" customFormat="1" x14ac:dyDescent="0.25">
      <c r="A17" s="22"/>
      <c r="B17" s="27">
        <f>2/E17</f>
        <v>0.66666666666666663</v>
      </c>
      <c r="C17" s="30">
        <v>500</v>
      </c>
      <c r="D17" s="23">
        <f t="shared" si="0"/>
        <v>333.33333333333331</v>
      </c>
      <c r="E17" s="3">
        <v>3</v>
      </c>
    </row>
    <row r="18" spans="1:5" s="1" customFormat="1" x14ac:dyDescent="0.25">
      <c r="A18" s="3"/>
      <c r="B18" s="13">
        <v>10</v>
      </c>
      <c r="C18" s="15">
        <v>40</v>
      </c>
      <c r="D18" s="15">
        <f t="shared" si="0"/>
        <v>400</v>
      </c>
      <c r="E18" s="3">
        <v>1</v>
      </c>
    </row>
    <row r="19" spans="1:5" s="1" customFormat="1" x14ac:dyDescent="0.25">
      <c r="A19" s="3"/>
      <c r="B19" s="13">
        <v>5</v>
      </c>
      <c r="C19" s="15">
        <v>25</v>
      </c>
      <c r="D19" s="15">
        <f t="shared" si="0"/>
        <v>125</v>
      </c>
      <c r="E19" s="3">
        <v>1</v>
      </c>
    </row>
    <row r="20" spans="1:5" s="1" customFormat="1" x14ac:dyDescent="0.25">
      <c r="A20" s="3"/>
      <c r="B20" s="13">
        <v>6</v>
      </c>
      <c r="C20" s="15">
        <v>380</v>
      </c>
      <c r="D20" s="15">
        <f t="shared" si="0"/>
        <v>2280</v>
      </c>
      <c r="E20" s="3">
        <v>1</v>
      </c>
    </row>
    <row r="21" spans="1:5" s="1" customFormat="1" x14ac:dyDescent="0.25">
      <c r="A21" s="3"/>
      <c r="B21" s="13">
        <f>4/E21</f>
        <v>2</v>
      </c>
      <c r="C21" s="15">
        <v>380</v>
      </c>
      <c r="D21" s="15">
        <f t="shared" si="0"/>
        <v>760</v>
      </c>
      <c r="E21" s="3">
        <v>2</v>
      </c>
    </row>
    <row r="22" spans="1:5" s="1" customFormat="1" ht="33" customHeight="1" x14ac:dyDescent="0.25">
      <c r="A22" s="3"/>
      <c r="B22" s="13">
        <f>10/E22</f>
        <v>5</v>
      </c>
      <c r="C22" s="15">
        <v>220</v>
      </c>
      <c r="D22" s="15">
        <f t="shared" si="0"/>
        <v>1100</v>
      </c>
      <c r="E22" s="3">
        <v>2</v>
      </c>
    </row>
    <row r="23" spans="1:5" s="9" customFormat="1" x14ac:dyDescent="0.25">
      <c r="A23" s="7"/>
      <c r="B23" s="27">
        <f>1/3</f>
        <v>0.33333333333333331</v>
      </c>
      <c r="C23" s="13">
        <v>2000</v>
      </c>
      <c r="D23" s="55">
        <f>C23*B23</f>
        <v>666.66666666666663</v>
      </c>
      <c r="E23" s="7">
        <v>3</v>
      </c>
    </row>
    <row r="24" spans="1:5" s="9" customFormat="1" x14ac:dyDescent="0.25">
      <c r="A24" s="7"/>
      <c r="B24" s="27">
        <f>1/E24</f>
        <v>0.33333333333333331</v>
      </c>
      <c r="C24" s="13">
        <v>5000</v>
      </c>
      <c r="D24" s="55">
        <f t="shared" ref="D24:D26" si="1">C24*B24</f>
        <v>1666.6666666666665</v>
      </c>
      <c r="E24" s="7">
        <v>3</v>
      </c>
    </row>
    <row r="25" spans="1:5" s="9" customFormat="1" x14ac:dyDescent="0.25">
      <c r="A25" s="7"/>
      <c r="B25" s="27">
        <f t="shared" ref="B25:B26" si="2">1/E25</f>
        <v>0.33333333333333331</v>
      </c>
      <c r="C25" s="13">
        <v>2000</v>
      </c>
      <c r="D25" s="55">
        <f t="shared" si="1"/>
        <v>666.66666666666663</v>
      </c>
      <c r="E25" s="7">
        <v>3</v>
      </c>
    </row>
    <row r="26" spans="1:5" s="9" customFormat="1" x14ac:dyDescent="0.25">
      <c r="A26" s="7"/>
      <c r="B26" s="27">
        <f t="shared" si="2"/>
        <v>0.33333333333333331</v>
      </c>
      <c r="C26" s="13">
        <v>2000</v>
      </c>
      <c r="D26" s="55">
        <f t="shared" si="1"/>
        <v>666.66666666666663</v>
      </c>
      <c r="E26" s="7">
        <v>3</v>
      </c>
    </row>
    <row r="27" spans="1:5" s="9" customFormat="1" hidden="1" x14ac:dyDescent="0.25">
      <c r="A27" s="7"/>
      <c r="B27" s="13"/>
      <c r="C27" s="13"/>
      <c r="D27" s="13"/>
      <c r="E27" s="7"/>
    </row>
    <row r="28" spans="1:5" s="9" customFormat="1" hidden="1" x14ac:dyDescent="0.25">
      <c r="A28" s="7"/>
      <c r="B28" s="13"/>
      <c r="C28" s="13"/>
      <c r="D28" s="13"/>
      <c r="E28" s="7"/>
    </row>
    <row r="29" spans="1:5" s="9" customFormat="1" ht="15" customHeight="1" x14ac:dyDescent="0.25">
      <c r="A29" s="7"/>
      <c r="B29" s="13"/>
      <c r="C29" s="13"/>
      <c r="D29" s="56">
        <v>20000</v>
      </c>
      <c r="E29" s="7"/>
    </row>
    <row r="30" spans="1:5" s="9" customFormat="1" ht="33" customHeight="1" x14ac:dyDescent="0.25">
      <c r="A30" s="57" t="s">
        <v>37</v>
      </c>
      <c r="B30" s="13">
        <v>100</v>
      </c>
      <c r="C30" s="13">
        <v>150</v>
      </c>
      <c r="D30" s="13">
        <f>B30*C30</f>
        <v>15000</v>
      </c>
      <c r="E30" s="7">
        <v>1</v>
      </c>
    </row>
    <row r="31" spans="1:5" s="9" customFormat="1" ht="33" customHeight="1" x14ac:dyDescent="0.25">
      <c r="A31" s="7" t="s">
        <v>39</v>
      </c>
      <c r="B31" s="13">
        <v>20</v>
      </c>
      <c r="C31" s="13">
        <v>400</v>
      </c>
      <c r="D31" s="13">
        <f>B31*C31</f>
        <v>8000</v>
      </c>
      <c r="E31" s="7">
        <v>1</v>
      </c>
    </row>
    <row r="32" spans="1:5" s="9" customFormat="1" ht="33" customHeight="1" x14ac:dyDescent="0.25">
      <c r="A32" s="7" t="s">
        <v>38</v>
      </c>
      <c r="B32" s="13">
        <v>12</v>
      </c>
      <c r="C32" s="13">
        <v>4750</v>
      </c>
      <c r="D32" s="13">
        <f>B32*C32</f>
        <v>57000</v>
      </c>
      <c r="E32" s="7">
        <v>1</v>
      </c>
    </row>
    <row r="33" spans="1:5" s="1" customFormat="1" x14ac:dyDescent="0.25">
      <c r="A33" s="2" t="s">
        <v>32</v>
      </c>
      <c r="B33" s="16"/>
      <c r="C33" s="17"/>
      <c r="D33" s="17">
        <f>SUM(D30:D32)</f>
        <v>80000</v>
      </c>
      <c r="E33" s="3"/>
    </row>
    <row r="34" spans="1:5" s="1" customFormat="1" x14ac:dyDescent="0.25">
      <c r="A34" s="3"/>
      <c r="B34" s="13"/>
      <c r="C34" s="15"/>
      <c r="D34" s="15"/>
      <c r="E34" s="3"/>
    </row>
    <row r="35" spans="1:5" s="1" customFormat="1" x14ac:dyDescent="0.25">
      <c r="A35" s="2" t="s">
        <v>27</v>
      </c>
      <c r="B35" s="13"/>
      <c r="C35" s="15"/>
      <c r="D35" s="15"/>
      <c r="E35" s="3"/>
    </row>
    <row r="36" spans="1:5" s="1" customFormat="1" x14ac:dyDescent="0.25">
      <c r="A36" s="3" t="s">
        <v>28</v>
      </c>
      <c r="B36" s="13">
        <v>1</v>
      </c>
      <c r="C36" s="15">
        <v>300</v>
      </c>
      <c r="D36" s="15">
        <f>B36*C36</f>
        <v>300</v>
      </c>
      <c r="E36" s="3">
        <v>1</v>
      </c>
    </row>
    <row r="37" spans="1:5" s="1" customFormat="1" x14ac:dyDescent="0.25">
      <c r="A37" s="3" t="s">
        <v>29</v>
      </c>
      <c r="B37" s="27">
        <f>1/E37</f>
        <v>0.33333333333333331</v>
      </c>
      <c r="C37" s="15">
        <v>1300</v>
      </c>
      <c r="D37" s="23">
        <f>B37*C37</f>
        <v>433.33333333333331</v>
      </c>
      <c r="E37" s="3">
        <v>3</v>
      </c>
    </row>
    <row r="38" spans="1:5" s="1" customFormat="1" x14ac:dyDescent="0.25">
      <c r="A38" s="3" t="s">
        <v>30</v>
      </c>
      <c r="B38" s="27">
        <f>1/E38</f>
        <v>0.33333333333333331</v>
      </c>
      <c r="C38" s="15">
        <v>150</v>
      </c>
      <c r="D38" s="15">
        <f>B38*C38</f>
        <v>50</v>
      </c>
      <c r="E38" s="3">
        <v>3</v>
      </c>
    </row>
    <row r="39" spans="1:5" s="1" customFormat="1" x14ac:dyDescent="0.25">
      <c r="A39" s="3" t="s">
        <v>31</v>
      </c>
      <c r="B39" s="27">
        <f>1/E39</f>
        <v>0.33333333333333331</v>
      </c>
      <c r="C39" s="15">
        <v>650</v>
      </c>
      <c r="D39" s="23">
        <f>B39*C39</f>
        <v>216.66666666666666</v>
      </c>
      <c r="E39" s="3">
        <v>3</v>
      </c>
    </row>
    <row r="40" spans="1:5" s="1" customFormat="1" x14ac:dyDescent="0.25">
      <c r="A40" s="2" t="s">
        <v>32</v>
      </c>
      <c r="B40" s="16"/>
      <c r="C40" s="17"/>
      <c r="D40" s="24"/>
      <c r="E40" s="3"/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1</vt:i4>
      </vt:variant>
    </vt:vector>
  </HeadingPairs>
  <TitlesOfParts>
    <vt:vector size="12" baseType="lpstr">
      <vt:lpstr>Ямская 88 на 2019</vt:lpstr>
      <vt:lpstr>Уборка территории</vt:lpstr>
      <vt:lpstr>Уборка снега</vt:lpstr>
      <vt:lpstr>Вывоз мусора</vt:lpstr>
      <vt:lpstr>Благоустройство</vt:lpstr>
      <vt:lpstr>Материалы для технички</vt:lpstr>
      <vt:lpstr>Материалы для утепления дома</vt:lpstr>
      <vt:lpstr>Материалы для электрика</vt:lpstr>
      <vt:lpstr>Материалы для сантехника</vt:lpstr>
      <vt:lpstr>Налоги</vt:lpstr>
      <vt:lpstr>Банк</vt:lpstr>
      <vt:lpstr>'Ямская 88 на 2019'!Область_печати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2021-01-05T06:54:10Z</dcterms:modified>
</cp:coreProperties>
</file>