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y\Desktop\20160607 Собрание\"/>
    </mc:Choice>
  </mc:AlternateContent>
  <bookViews>
    <workbookView xWindow="360" yWindow="405" windowWidth="13395" windowHeight="7380" activeTab="1"/>
  </bookViews>
  <sheets>
    <sheet name="Смета 2015 общ." sheetId="17" r:id="rId1"/>
    <sheet name="Смета 2015 общ.сокр." sheetId="38" r:id="rId2"/>
    <sheet name="Смета 2015 88,90,92" sheetId="19" r:id="rId3"/>
    <sheet name="Смета 2015 88,90,92 сокр." sheetId="40" r:id="rId4"/>
    <sheet name="Затраты 88, 90, 92" sheetId="26" r:id="rId5"/>
    <sheet name="Расш.уборка помещений 88,90,92" sheetId="31" r:id="rId6"/>
    <sheet name="Расш..эл.хоз." sheetId="34" r:id="rId7"/>
    <sheet name="Расш.отопление" sheetId="36" r:id="rId8"/>
    <sheet name="Расш.водоснабжение" sheetId="37" r:id="rId9"/>
    <sheet name="Смета 2015 86" sheetId="20" r:id="rId10"/>
    <sheet name="Смета 2015 86 сокр." sheetId="41" r:id="rId11"/>
    <sheet name="Затраты 86" sheetId="25" r:id="rId12"/>
    <sheet name="Уборка территории 86" sheetId="43" r:id="rId13"/>
    <sheet name="Уборка помещений 86" sheetId="44" r:id="rId14"/>
    <sheet name="Утепление 86" sheetId="45" r:id="rId15"/>
    <sheet name="ТО эл.хозяйства" sheetId="47" r:id="rId16"/>
    <sheet name="ТО теплохозяйства" sheetId="48" r:id="rId17"/>
    <sheet name="ТО водоснабжение" sheetId="49" r:id="rId18"/>
  </sheets>
  <definedNames>
    <definedName name="_xlnm._FilterDatabase" localSheetId="11" hidden="1">'Затраты 86'!$M$1:$M$33</definedName>
    <definedName name="_xlnm._FilterDatabase" localSheetId="4" hidden="1">'Затраты 88, 90, 92'!$M$1:$M$64</definedName>
    <definedName name="_xlnm._FilterDatabase" localSheetId="6" hidden="1">Расш..эл.хоз.!$G$1:$G$768</definedName>
    <definedName name="_xlnm._FilterDatabase" localSheetId="8" hidden="1">Расш.водоснабжение!$C$1:$C$373</definedName>
    <definedName name="_xlnm._FilterDatabase" localSheetId="7" hidden="1">Расш.отопление!$C$1:$C$373</definedName>
    <definedName name="_xlnm._FilterDatabase" localSheetId="5" hidden="1">'Расш.уборка помещений 88,90,92'!$G$1:$G$41</definedName>
    <definedName name="_xlnm._FilterDatabase" localSheetId="17" hidden="1">'ТО водоснабжение'!$B$1:$B$73</definedName>
    <definedName name="_xlnm._FilterDatabase" localSheetId="16" hidden="1">'ТО теплохозяйства'!$B$1:$B$56</definedName>
    <definedName name="_xlnm.Print_Area" localSheetId="2">'Смета 2015 88,90,92'!$A$1:$P$92</definedName>
    <definedName name="_xlnm.Print_Area" localSheetId="3">'Смета 2015 88,90,92 сокр.'!$A$1:$P$92</definedName>
  </definedNames>
  <calcPr calcId="152511"/>
</workbook>
</file>

<file path=xl/calcChain.xml><?xml version="1.0" encoding="utf-8"?>
<calcChain xmlns="http://schemas.openxmlformats.org/spreadsheetml/2006/main">
  <c r="O38" i="40" l="1"/>
  <c r="P38" i="40" s="1"/>
  <c r="O38" i="38"/>
  <c r="P38" i="38" s="1"/>
  <c r="O39" i="17"/>
  <c r="O38" i="19"/>
  <c r="P38" i="19" s="1"/>
  <c r="C5" i="38"/>
  <c r="C6" i="38" s="1"/>
  <c r="L48" i="19" l="1"/>
  <c r="E6" i="49" l="1"/>
  <c r="E5" i="49"/>
  <c r="E4" i="49"/>
  <c r="E3" i="49"/>
  <c r="E2" i="49"/>
  <c r="E74" i="49" s="1"/>
  <c r="L8" i="25"/>
  <c r="E3" i="25"/>
  <c r="L3" i="25" s="1"/>
  <c r="E5" i="48"/>
  <c r="E4" i="48"/>
  <c r="E3" i="48"/>
  <c r="E2" i="48"/>
  <c r="D9" i="47"/>
  <c r="D8" i="47"/>
  <c r="D7" i="47"/>
  <c r="D6" i="47"/>
  <c r="D5" i="47"/>
  <c r="D4" i="47"/>
  <c r="D3" i="47"/>
  <c r="D2" i="47"/>
  <c r="E10" i="45"/>
  <c r="E9" i="45"/>
  <c r="E11" i="45" s="1"/>
  <c r="E7" i="45"/>
  <c r="E6" i="45"/>
  <c r="E5" i="45"/>
  <c r="E4" i="45"/>
  <c r="E8" i="45" s="1"/>
  <c r="E2" i="45"/>
  <c r="E34" i="44"/>
  <c r="E9" i="25" s="1"/>
  <c r="E33" i="44"/>
  <c r="E10" i="25" s="1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9" i="44"/>
  <c r="E8" i="44"/>
  <c r="E7" i="44"/>
  <c r="E6" i="44"/>
  <c r="E5" i="44"/>
  <c r="E4" i="44"/>
  <c r="E3" i="44"/>
  <c r="E2" i="44"/>
  <c r="I15" i="25"/>
  <c r="L15" i="25" s="1"/>
  <c r="I14" i="25"/>
  <c r="L14" i="25" s="1"/>
  <c r="D11" i="43"/>
  <c r="D10" i="43"/>
  <c r="D9" i="43"/>
  <c r="D8" i="43"/>
  <c r="D7" i="43"/>
  <c r="D6" i="43"/>
  <c r="D5" i="43"/>
  <c r="D4" i="43"/>
  <c r="D3" i="43"/>
  <c r="D2" i="43"/>
  <c r="E32" i="44" l="1"/>
  <c r="E5" i="25" s="1"/>
  <c r="E7" i="49"/>
  <c r="E73" i="49"/>
  <c r="E6" i="48"/>
  <c r="E57" i="48"/>
  <c r="E56" i="48"/>
  <c r="D10" i="47"/>
  <c r="D12" i="43"/>
  <c r="H63" i="41" l="1"/>
  <c r="G63" i="41" s="1"/>
  <c r="F63" i="41"/>
  <c r="E63" i="41" s="1"/>
  <c r="D63" i="41"/>
  <c r="O44" i="41"/>
  <c r="N43" i="41"/>
  <c r="M43" i="41"/>
  <c r="L43" i="41"/>
  <c r="J43" i="41"/>
  <c r="K43" i="41" s="1"/>
  <c r="O42" i="41"/>
  <c r="J42" i="41"/>
  <c r="K42" i="41" s="1"/>
  <c r="P42" i="41" s="1"/>
  <c r="P60" i="41" s="1"/>
  <c r="O41" i="41"/>
  <c r="J41" i="41"/>
  <c r="K41" i="41" s="1"/>
  <c r="P41" i="41" s="1"/>
  <c r="P61" i="41" s="1"/>
  <c r="O40" i="41"/>
  <c r="J40" i="41"/>
  <c r="K40" i="41" s="1"/>
  <c r="P40" i="41" s="1"/>
  <c r="O38" i="41"/>
  <c r="P38" i="41" s="1"/>
  <c r="J33" i="41"/>
  <c r="K33" i="41" s="1"/>
  <c r="J29" i="41"/>
  <c r="K29" i="41" s="1"/>
  <c r="J28" i="41"/>
  <c r="K28" i="41" s="1"/>
  <c r="J27" i="41"/>
  <c r="K27" i="41" s="1"/>
  <c r="J26" i="41"/>
  <c r="K26" i="41" s="1"/>
  <c r="J25" i="41"/>
  <c r="K25" i="41" s="1"/>
  <c r="J24" i="41"/>
  <c r="K24" i="41" s="1"/>
  <c r="O23" i="41"/>
  <c r="J23" i="41"/>
  <c r="K23" i="41" s="1"/>
  <c r="O21" i="41"/>
  <c r="P21" i="41" s="1"/>
  <c r="O20" i="41"/>
  <c r="P20" i="41" s="1"/>
  <c r="O19" i="41"/>
  <c r="J19" i="41"/>
  <c r="K19" i="41" s="1"/>
  <c r="O18" i="41"/>
  <c r="J18" i="41"/>
  <c r="K18" i="41" s="1"/>
  <c r="J17" i="41"/>
  <c r="K17" i="41" s="1"/>
  <c r="J16" i="41"/>
  <c r="K16" i="41" s="1"/>
  <c r="J15" i="41"/>
  <c r="K15" i="41" s="1"/>
  <c r="J14" i="41"/>
  <c r="N13" i="41"/>
  <c r="I13" i="41"/>
  <c r="O12" i="41"/>
  <c r="J12" i="41"/>
  <c r="K12" i="41" s="1"/>
  <c r="J11" i="41"/>
  <c r="K11" i="41" s="1"/>
  <c r="J10" i="41"/>
  <c r="K10" i="41" s="1"/>
  <c r="L9" i="41"/>
  <c r="I9" i="41"/>
  <c r="C5" i="41"/>
  <c r="C6" i="41" s="1"/>
  <c r="P12" i="41" l="1"/>
  <c r="J13" i="41"/>
  <c r="P18" i="41"/>
  <c r="P19" i="41"/>
  <c r="P23" i="41"/>
  <c r="F66" i="41"/>
  <c r="C63" i="41"/>
  <c r="K14" i="41"/>
  <c r="K13" i="41" s="1"/>
  <c r="O43" i="41"/>
  <c r="N39" i="41"/>
  <c r="L34" i="41"/>
  <c r="M30" i="41"/>
  <c r="N29" i="41"/>
  <c r="N26" i="41"/>
  <c r="L37" i="41"/>
  <c r="L27" i="41"/>
  <c r="O27" i="41" s="1"/>
  <c r="P27" i="41" s="1"/>
  <c r="P48" i="41" s="1"/>
  <c r="L24" i="41"/>
  <c r="M37" i="41"/>
  <c r="M33" i="41" s="1"/>
  <c r="N36" i="41"/>
  <c r="O36" i="41" s="1"/>
  <c r="P36" i="41" s="1"/>
  <c r="L32" i="41"/>
  <c r="O32" i="41" s="1"/>
  <c r="P32" i="41" s="1"/>
  <c r="P52" i="41" s="1"/>
  <c r="L28" i="41"/>
  <c r="O28" i="41" s="1"/>
  <c r="P28" i="41" s="1"/>
  <c r="P59" i="41" s="1"/>
  <c r="L25" i="41"/>
  <c r="O25" i="41" s="1"/>
  <c r="L39" i="41"/>
  <c r="N35" i="41"/>
  <c r="L31" i="41"/>
  <c r="O31" i="41" s="1"/>
  <c r="P31" i="41" s="1"/>
  <c r="P51" i="41" s="1"/>
  <c r="L30" i="41"/>
  <c r="M29" i="41"/>
  <c r="L26" i="41"/>
  <c r="O26" i="41" s="1"/>
  <c r="P26" i="41" s="1"/>
  <c r="P58" i="41" s="1"/>
  <c r="P43" i="41"/>
  <c r="P25" i="41"/>
  <c r="P47" i="41" s="1"/>
  <c r="J9" i="41"/>
  <c r="J22" i="41"/>
  <c r="O39" i="41" l="1"/>
  <c r="P39" i="41" s="1"/>
  <c r="O30" i="41"/>
  <c r="P30" i="41" s="1"/>
  <c r="P50" i="41" s="1"/>
  <c r="N22" i="41"/>
  <c r="K9" i="41"/>
  <c r="J63" i="41"/>
  <c r="K22" i="41"/>
  <c r="I22" i="41"/>
  <c r="O29" i="41"/>
  <c r="P29" i="41" s="1"/>
  <c r="P49" i="41" s="1"/>
  <c r="M22" i="41"/>
  <c r="O34" i="41"/>
  <c r="P34" i="41" s="1"/>
  <c r="L33" i="41"/>
  <c r="O37" i="41"/>
  <c r="P37" i="41" s="1"/>
  <c r="O35" i="41"/>
  <c r="P35" i="41" s="1"/>
  <c r="N33" i="41"/>
  <c r="O24" i="41"/>
  <c r="P24" i="41" s="1"/>
  <c r="P57" i="41" s="1"/>
  <c r="L22" i="41"/>
  <c r="O38" i="20"/>
  <c r="P38" i="20" s="1"/>
  <c r="L17" i="19"/>
  <c r="L18" i="17" s="1"/>
  <c r="E85" i="40"/>
  <c r="E84" i="40"/>
  <c r="E83" i="40"/>
  <c r="E82" i="40"/>
  <c r="E81" i="40"/>
  <c r="E79" i="40"/>
  <c r="E77" i="40"/>
  <c r="E76" i="40"/>
  <c r="E75" i="40"/>
  <c r="E74" i="40"/>
  <c r="J69" i="40"/>
  <c r="N48" i="40"/>
  <c r="M48" i="40"/>
  <c r="L48" i="40"/>
  <c r="L46" i="40"/>
  <c r="L44" i="40" s="1"/>
  <c r="N44" i="40"/>
  <c r="M44" i="40"/>
  <c r="H44" i="40"/>
  <c r="F44" i="40"/>
  <c r="D44" i="40"/>
  <c r="O43" i="40"/>
  <c r="H43" i="40"/>
  <c r="F43" i="40"/>
  <c r="D43" i="40"/>
  <c r="O42" i="40"/>
  <c r="H42" i="40"/>
  <c r="F42" i="40"/>
  <c r="D42" i="40"/>
  <c r="O41" i="40"/>
  <c r="H41" i="40"/>
  <c r="F41" i="40"/>
  <c r="D41" i="40"/>
  <c r="M39" i="40"/>
  <c r="O39" i="40" s="1"/>
  <c r="P39" i="40" s="1"/>
  <c r="H33" i="40"/>
  <c r="F33" i="40"/>
  <c r="D33" i="40"/>
  <c r="H29" i="40"/>
  <c r="F29" i="40"/>
  <c r="D29" i="40"/>
  <c r="H28" i="40"/>
  <c r="F28" i="40"/>
  <c r="D28" i="40"/>
  <c r="H27" i="40"/>
  <c r="F27" i="40"/>
  <c r="D27" i="40"/>
  <c r="H26" i="40"/>
  <c r="F26" i="40"/>
  <c r="D26" i="40"/>
  <c r="H25" i="40"/>
  <c r="F25" i="40"/>
  <c r="D25" i="40"/>
  <c r="H24" i="40"/>
  <c r="F24" i="40"/>
  <c r="D24" i="40"/>
  <c r="O23" i="40"/>
  <c r="H23" i="40"/>
  <c r="F23" i="40"/>
  <c r="D23" i="40"/>
  <c r="O21" i="40"/>
  <c r="P21" i="40" s="1"/>
  <c r="L19" i="40"/>
  <c r="O19" i="40" s="1"/>
  <c r="H19" i="40"/>
  <c r="F19" i="40"/>
  <c r="D19" i="40"/>
  <c r="O18" i="40"/>
  <c r="H18" i="40"/>
  <c r="F18" i="40"/>
  <c r="D18" i="40"/>
  <c r="M17" i="40"/>
  <c r="O17" i="40" s="1"/>
  <c r="H17" i="40"/>
  <c r="F17" i="40"/>
  <c r="D17" i="40"/>
  <c r="H16" i="40"/>
  <c r="F16" i="40"/>
  <c r="D16" i="40"/>
  <c r="H15" i="40"/>
  <c r="F15" i="40"/>
  <c r="D15" i="40"/>
  <c r="H14" i="40"/>
  <c r="F14" i="40"/>
  <c r="D14" i="40"/>
  <c r="G13" i="40"/>
  <c r="E13" i="40"/>
  <c r="C13" i="40"/>
  <c r="L12" i="40"/>
  <c r="L9" i="40" s="1"/>
  <c r="H12" i="40"/>
  <c r="F12" i="40"/>
  <c r="D12" i="40"/>
  <c r="H11" i="40"/>
  <c r="F11" i="40"/>
  <c r="D11" i="40"/>
  <c r="O10" i="40"/>
  <c r="H10" i="40"/>
  <c r="F10" i="40"/>
  <c r="D10" i="40"/>
  <c r="M9" i="40"/>
  <c r="G9" i="40"/>
  <c r="E9" i="40"/>
  <c r="C9" i="40"/>
  <c r="C6" i="40"/>
  <c r="C5" i="40"/>
  <c r="L19" i="19"/>
  <c r="H9" i="40" l="1"/>
  <c r="K12" i="40"/>
  <c r="P12" i="40" s="1"/>
  <c r="H13" i="40"/>
  <c r="K16" i="40"/>
  <c r="O48" i="40"/>
  <c r="E78" i="40"/>
  <c r="G78" i="40" s="1"/>
  <c r="P60" i="40" s="1"/>
  <c r="N35" i="40"/>
  <c r="F13" i="40"/>
  <c r="K15" i="40"/>
  <c r="K17" i="40"/>
  <c r="P17" i="40" s="1"/>
  <c r="K18" i="40"/>
  <c r="P18" i="40" s="1"/>
  <c r="K19" i="40"/>
  <c r="P19" i="40" s="1"/>
  <c r="F22" i="40"/>
  <c r="E22" i="40" s="1"/>
  <c r="K27" i="40"/>
  <c r="K28" i="40"/>
  <c r="P53" i="41"/>
  <c r="K10" i="40"/>
  <c r="P10" i="40" s="1"/>
  <c r="K11" i="40"/>
  <c r="L40" i="40"/>
  <c r="O12" i="40"/>
  <c r="H22" i="40"/>
  <c r="G22" i="40" s="1"/>
  <c r="K26" i="40"/>
  <c r="E86" i="40"/>
  <c r="G86" i="40" s="1"/>
  <c r="F9" i="40"/>
  <c r="F66" i="40" s="1"/>
  <c r="E66" i="40" s="1"/>
  <c r="K23" i="40"/>
  <c r="P23" i="40" s="1"/>
  <c r="K24" i="40"/>
  <c r="K25" i="40"/>
  <c r="K29" i="40"/>
  <c r="K41" i="40"/>
  <c r="P41" i="40" s="1"/>
  <c r="K42" i="40"/>
  <c r="P42" i="40" s="1"/>
  <c r="K43" i="40"/>
  <c r="P43" i="40" s="1"/>
  <c r="P63" i="40" s="1"/>
  <c r="K44" i="40"/>
  <c r="P44" i="40" s="1"/>
  <c r="O44" i="40"/>
  <c r="K63" i="41"/>
  <c r="K14" i="40"/>
  <c r="K13" i="40" s="1"/>
  <c r="K33" i="40"/>
  <c r="I63" i="41"/>
  <c r="J66" i="41"/>
  <c r="K66" i="41" s="1"/>
  <c r="O33" i="41"/>
  <c r="P33" i="41" s="1"/>
  <c r="O22" i="41"/>
  <c r="P22" i="41" s="1"/>
  <c r="O35" i="40"/>
  <c r="P35" i="40" s="1"/>
  <c r="N11" i="40"/>
  <c r="L24" i="40"/>
  <c r="M29" i="40"/>
  <c r="L30" i="40"/>
  <c r="L31" i="40"/>
  <c r="O31" i="40" s="1"/>
  <c r="P31" i="40" s="1"/>
  <c r="P53" i="40" s="1"/>
  <c r="L37" i="40"/>
  <c r="D9" i="40"/>
  <c r="D13" i="40"/>
  <c r="D22" i="40"/>
  <c r="L25" i="40"/>
  <c r="O25" i="40" s="1"/>
  <c r="P25" i="40" s="1"/>
  <c r="N26" i="40"/>
  <c r="L32" i="40"/>
  <c r="O32" i="40" s="1"/>
  <c r="P32" i="40" s="1"/>
  <c r="P57" i="40" s="1"/>
  <c r="L34" i="40"/>
  <c r="L27" i="40"/>
  <c r="O27" i="40" s="1"/>
  <c r="N40" i="40"/>
  <c r="L26" i="40"/>
  <c r="L28" i="40"/>
  <c r="O28" i="40" s="1"/>
  <c r="P28" i="40" s="1"/>
  <c r="P61" i="40" s="1"/>
  <c r="N29" i="40"/>
  <c r="M30" i="40"/>
  <c r="N36" i="40"/>
  <c r="O36" i="40" s="1"/>
  <c r="P36" i="40" s="1"/>
  <c r="M37" i="40"/>
  <c r="M33" i="40" s="1"/>
  <c r="P27" i="40" l="1"/>
  <c r="P54" i="40" s="1"/>
  <c r="K48" i="40"/>
  <c r="P48" i="40" s="1"/>
  <c r="O40" i="40"/>
  <c r="P40" i="40" s="1"/>
  <c r="H66" i="40"/>
  <c r="G66" i="40" s="1"/>
  <c r="D66" i="40"/>
  <c r="K9" i="40"/>
  <c r="O29" i="40"/>
  <c r="P29" i="40" s="1"/>
  <c r="P55" i="40" s="1"/>
  <c r="M22" i="40"/>
  <c r="O11" i="40"/>
  <c r="P11" i="40" s="1"/>
  <c r="P9" i="40" s="1"/>
  <c r="P51" i="40" s="1"/>
  <c r="N9" i="40"/>
  <c r="N22" i="40"/>
  <c r="L33" i="40"/>
  <c r="O34" i="40"/>
  <c r="C22" i="40"/>
  <c r="K22" i="40"/>
  <c r="O24" i="40"/>
  <c r="P24" i="40" s="1"/>
  <c r="P62" i="40" s="1"/>
  <c r="P64" i="40" s="1"/>
  <c r="L22" i="40"/>
  <c r="O30" i="40"/>
  <c r="P30" i="40" s="1"/>
  <c r="P56" i="40" s="1"/>
  <c r="O26" i="40"/>
  <c r="P26" i="40" s="1"/>
  <c r="O37" i="40"/>
  <c r="P37" i="40" s="1"/>
  <c r="N33" i="40"/>
  <c r="E80" i="38"/>
  <c r="E79" i="38"/>
  <c r="E78" i="38"/>
  <c r="E77" i="38"/>
  <c r="E76" i="38"/>
  <c r="E75" i="38"/>
  <c r="E73" i="38"/>
  <c r="E71" i="38"/>
  <c r="E70" i="38"/>
  <c r="E69" i="38"/>
  <c r="E68" i="38"/>
  <c r="O46" i="38"/>
  <c r="L44" i="38"/>
  <c r="N43" i="38"/>
  <c r="M43" i="38"/>
  <c r="J43" i="38"/>
  <c r="H43" i="38"/>
  <c r="F43" i="38"/>
  <c r="D43" i="38"/>
  <c r="L42" i="38"/>
  <c r="O42" i="38" s="1"/>
  <c r="J42" i="38"/>
  <c r="H42" i="38"/>
  <c r="F42" i="38"/>
  <c r="D42" i="38"/>
  <c r="O41" i="38"/>
  <c r="J41" i="38"/>
  <c r="H41" i="38"/>
  <c r="F41" i="38"/>
  <c r="D41" i="38"/>
  <c r="O40" i="38"/>
  <c r="J40" i="38"/>
  <c r="H40" i="38"/>
  <c r="F40" i="38"/>
  <c r="D40" i="38"/>
  <c r="L39" i="38"/>
  <c r="O39" i="38" s="1"/>
  <c r="P39" i="38" s="1"/>
  <c r="M37" i="38"/>
  <c r="O37" i="38" s="1"/>
  <c r="O36" i="38"/>
  <c r="P36" i="38" s="1"/>
  <c r="O35" i="38"/>
  <c r="P35" i="38" s="1"/>
  <c r="O34" i="38"/>
  <c r="P34" i="38" s="1"/>
  <c r="N33" i="38"/>
  <c r="J33" i="38"/>
  <c r="H33" i="38"/>
  <c r="F33" i="38"/>
  <c r="D33" i="38"/>
  <c r="O32" i="38"/>
  <c r="P32" i="38" s="1"/>
  <c r="P51" i="38" s="1"/>
  <c r="O31" i="38"/>
  <c r="P31" i="38" s="1"/>
  <c r="P50" i="38" s="1"/>
  <c r="J29" i="38"/>
  <c r="H29" i="38"/>
  <c r="F29" i="38"/>
  <c r="D29" i="38"/>
  <c r="J28" i="38"/>
  <c r="H28" i="38"/>
  <c r="F28" i="38"/>
  <c r="D28" i="38"/>
  <c r="J27" i="38"/>
  <c r="H27" i="38"/>
  <c r="F27" i="38"/>
  <c r="D27" i="38"/>
  <c r="J26" i="38"/>
  <c r="H26" i="38"/>
  <c r="F26" i="38"/>
  <c r="D26" i="38"/>
  <c r="J25" i="38"/>
  <c r="H25" i="38"/>
  <c r="F25" i="38"/>
  <c r="D25" i="38"/>
  <c r="J24" i="38"/>
  <c r="H24" i="38"/>
  <c r="F24" i="38"/>
  <c r="D24" i="38"/>
  <c r="L23" i="38"/>
  <c r="O23" i="38" s="1"/>
  <c r="J23" i="38"/>
  <c r="H23" i="38"/>
  <c r="F23" i="38"/>
  <c r="D23" i="38"/>
  <c r="O21" i="38"/>
  <c r="P21" i="38" s="1"/>
  <c r="L19" i="38"/>
  <c r="O19" i="38" s="1"/>
  <c r="J19" i="38"/>
  <c r="H19" i="38"/>
  <c r="F19" i="38"/>
  <c r="D19" i="38"/>
  <c r="N18" i="38"/>
  <c r="L18" i="38"/>
  <c r="J18" i="38"/>
  <c r="H18" i="38"/>
  <c r="F18" i="38"/>
  <c r="D18" i="38"/>
  <c r="J17" i="38"/>
  <c r="H17" i="38"/>
  <c r="F17" i="38"/>
  <c r="D17" i="38"/>
  <c r="J16" i="38"/>
  <c r="H16" i="38"/>
  <c r="F16" i="38"/>
  <c r="D16" i="38"/>
  <c r="J15" i="38"/>
  <c r="H15" i="38"/>
  <c r="F15" i="38"/>
  <c r="D15" i="38"/>
  <c r="J14" i="38"/>
  <c r="H14" i="38"/>
  <c r="F14" i="38"/>
  <c r="D14" i="38"/>
  <c r="I13" i="38"/>
  <c r="G13" i="38"/>
  <c r="E13" i="38"/>
  <c r="C13" i="38"/>
  <c r="J12" i="38"/>
  <c r="H12" i="38"/>
  <c r="F12" i="38"/>
  <c r="D12" i="38"/>
  <c r="J11" i="38"/>
  <c r="H11" i="38"/>
  <c r="F11" i="38"/>
  <c r="D11" i="38"/>
  <c r="J10" i="38"/>
  <c r="J9" i="38" s="1"/>
  <c r="H10" i="38"/>
  <c r="H9" i="38" s="1"/>
  <c r="F10" i="38"/>
  <c r="F9" i="38" s="1"/>
  <c r="D10" i="38"/>
  <c r="I9" i="38"/>
  <c r="G9" i="38"/>
  <c r="E9" i="38"/>
  <c r="C9" i="38"/>
  <c r="O33" i="40" l="1"/>
  <c r="D22" i="38"/>
  <c r="C22" i="38" s="1"/>
  <c r="H13" i="38"/>
  <c r="E72" i="38"/>
  <c r="G72" i="38" s="1"/>
  <c r="E81" i="38"/>
  <c r="G81" i="38" s="1"/>
  <c r="J22" i="38"/>
  <c r="I22" i="38" s="1"/>
  <c r="M33" i="38"/>
  <c r="F13" i="38"/>
  <c r="K10" i="38"/>
  <c r="K11" i="38"/>
  <c r="K12" i="38"/>
  <c r="F22" i="38"/>
  <c r="E22" i="38" s="1"/>
  <c r="J13" i="38"/>
  <c r="H22" i="38"/>
  <c r="G22" i="38" s="1"/>
  <c r="K14" i="38"/>
  <c r="K15" i="38"/>
  <c r="K16" i="38"/>
  <c r="K17" i="38"/>
  <c r="K18" i="38"/>
  <c r="F60" i="38"/>
  <c r="E60" i="38" s="1"/>
  <c r="K42" i="38"/>
  <c r="P42" i="38" s="1"/>
  <c r="P57" i="38" s="1"/>
  <c r="D9" i="38"/>
  <c r="D13" i="38"/>
  <c r="K33" i="38"/>
  <c r="L33" i="38"/>
  <c r="K19" i="38"/>
  <c r="P19" i="38" s="1"/>
  <c r="K24" i="38"/>
  <c r="K25" i="38"/>
  <c r="K26" i="38"/>
  <c r="K27" i="38"/>
  <c r="K28" i="38"/>
  <c r="K29" i="38"/>
  <c r="K41" i="38"/>
  <c r="P41" i="38" s="1"/>
  <c r="P58" i="38" s="1"/>
  <c r="K23" i="38"/>
  <c r="P23" i="38" s="1"/>
  <c r="K40" i="38"/>
  <c r="P40" i="38" s="1"/>
  <c r="K43" i="38"/>
  <c r="O22" i="40"/>
  <c r="P22" i="40" s="1"/>
  <c r="P34" i="40"/>
  <c r="P33" i="40"/>
  <c r="O9" i="40"/>
  <c r="K66" i="40"/>
  <c r="F69" i="40"/>
  <c r="K69" i="40" s="1"/>
  <c r="C66" i="40"/>
  <c r="P37" i="38"/>
  <c r="O33" i="38" l="1"/>
  <c r="K22" i="38"/>
  <c r="H60" i="38"/>
  <c r="G60" i="38" s="1"/>
  <c r="J60" i="38"/>
  <c r="I60" i="38" s="1"/>
  <c r="P33" i="38"/>
  <c r="D60" i="38"/>
  <c r="C60" i="38" s="1"/>
  <c r="K9" i="38"/>
  <c r="K13" i="38"/>
  <c r="J63" i="38" l="1"/>
  <c r="K60" i="38"/>
  <c r="F63" i="38"/>
  <c r="K63" i="38" s="1"/>
  <c r="O44" i="20"/>
  <c r="O47" i="17"/>
  <c r="M44" i="17"/>
  <c r="N44" i="17"/>
  <c r="L45" i="17"/>
  <c r="O21" i="19" l="1"/>
  <c r="P21" i="19" s="1"/>
  <c r="L20" i="17"/>
  <c r="L24" i="17"/>
  <c r="M44" i="19"/>
  <c r="N44" i="19"/>
  <c r="O48" i="19"/>
  <c r="F357" i="37"/>
  <c r="F356" i="37"/>
  <c r="F355" i="37"/>
  <c r="F354" i="37"/>
  <c r="F353" i="37"/>
  <c r="F352" i="37"/>
  <c r="F351" i="37"/>
  <c r="F350" i="37"/>
  <c r="F349" i="37"/>
  <c r="F348" i="37"/>
  <c r="F347" i="37"/>
  <c r="F346" i="37"/>
  <c r="F345" i="37"/>
  <c r="F344" i="37"/>
  <c r="F343" i="37"/>
  <c r="F342" i="37"/>
  <c r="F341" i="37"/>
  <c r="F340" i="37"/>
  <c r="F339" i="37"/>
  <c r="F338" i="37"/>
  <c r="F337" i="37"/>
  <c r="F336" i="37"/>
  <c r="F335" i="37"/>
  <c r="F334" i="37"/>
  <c r="F333" i="37"/>
  <c r="F332" i="37"/>
  <c r="F331" i="37"/>
  <c r="F330" i="37"/>
  <c r="F329" i="37"/>
  <c r="F328" i="37"/>
  <c r="F327" i="37"/>
  <c r="F326" i="37"/>
  <c r="F325" i="37"/>
  <c r="F324" i="37"/>
  <c r="F323" i="37"/>
  <c r="F322" i="37"/>
  <c r="F321" i="37"/>
  <c r="F320" i="37"/>
  <c r="F319" i="37"/>
  <c r="F318" i="37"/>
  <c r="F317" i="37"/>
  <c r="F316" i="37"/>
  <c r="F315" i="37"/>
  <c r="F314" i="37"/>
  <c r="F313" i="37"/>
  <c r="F312" i="37"/>
  <c r="F311" i="37"/>
  <c r="F310" i="37"/>
  <c r="F309" i="37"/>
  <c r="F308" i="37"/>
  <c r="F307" i="37"/>
  <c r="F306" i="37"/>
  <c r="F305" i="37"/>
  <c r="F304" i="37"/>
  <c r="F303" i="37"/>
  <c r="F302" i="37"/>
  <c r="F301" i="37"/>
  <c r="F300" i="37"/>
  <c r="F299" i="37"/>
  <c r="F297" i="37"/>
  <c r="F296" i="37"/>
  <c r="F295" i="37"/>
  <c r="F294" i="37"/>
  <c r="F293" i="37"/>
  <c r="F372" i="37" s="1"/>
  <c r="F289" i="37"/>
  <c r="F286" i="37"/>
  <c r="F285" i="37"/>
  <c r="F284" i="37"/>
  <c r="F283" i="37"/>
  <c r="F282" i="37"/>
  <c r="F281" i="37"/>
  <c r="F280" i="37"/>
  <c r="F279" i="37"/>
  <c r="F278" i="37"/>
  <c r="F277" i="37"/>
  <c r="F276" i="37"/>
  <c r="F274" i="37"/>
  <c r="F273" i="37"/>
  <c r="F272" i="37"/>
  <c r="F271" i="37"/>
  <c r="F269" i="37"/>
  <c r="F268" i="37"/>
  <c r="F266" i="37"/>
  <c r="F265" i="37"/>
  <c r="F264" i="37"/>
  <c r="F263" i="37"/>
  <c r="F262" i="37"/>
  <c r="F261" i="37"/>
  <c r="F258" i="37"/>
  <c r="F257" i="37"/>
  <c r="F255" i="37"/>
  <c r="F254" i="37"/>
  <c r="F253" i="37"/>
  <c r="F252" i="37"/>
  <c r="F251" i="37"/>
  <c r="F250" i="37"/>
  <c r="F249" i="37"/>
  <c r="F248" i="37"/>
  <c r="F247" i="37"/>
  <c r="F245" i="37"/>
  <c r="F244" i="37"/>
  <c r="F243" i="37"/>
  <c r="F242" i="37"/>
  <c r="F241" i="37"/>
  <c r="F240" i="37"/>
  <c r="F238" i="37"/>
  <c r="F237" i="37"/>
  <c r="F236" i="37"/>
  <c r="F235" i="37"/>
  <c r="F234" i="37"/>
  <c r="F232" i="37"/>
  <c r="F231" i="37"/>
  <c r="F229" i="37"/>
  <c r="F228" i="37"/>
  <c r="F227" i="37"/>
  <c r="F226" i="37"/>
  <c r="F224" i="37"/>
  <c r="F223" i="37"/>
  <c r="F221" i="37"/>
  <c r="F220" i="37"/>
  <c r="F219" i="37"/>
  <c r="F216" i="37"/>
  <c r="F215" i="37"/>
  <c r="F214" i="37"/>
  <c r="F213" i="37"/>
  <c r="F212" i="37"/>
  <c r="F210" i="37"/>
  <c r="F209" i="37"/>
  <c r="F208" i="37"/>
  <c r="F206" i="37"/>
  <c r="F205" i="37"/>
  <c r="F204" i="37"/>
  <c r="F203" i="37"/>
  <c r="F201" i="37"/>
  <c r="F200" i="37"/>
  <c r="F199" i="37"/>
  <c r="F198" i="37"/>
  <c r="F197" i="37"/>
  <c r="F196" i="37"/>
  <c r="F195" i="37"/>
  <c r="F194" i="37"/>
  <c r="F193" i="37"/>
  <c r="F192" i="37"/>
  <c r="F191" i="37"/>
  <c r="F190" i="37"/>
  <c r="F188" i="37"/>
  <c r="F187" i="37"/>
  <c r="F186" i="37"/>
  <c r="F185" i="37"/>
  <c r="F184" i="37"/>
  <c r="F183" i="37"/>
  <c r="F181" i="37"/>
  <c r="F180" i="37"/>
  <c r="F178" i="37"/>
  <c r="F177" i="37"/>
  <c r="F176" i="37"/>
  <c r="F175" i="37"/>
  <c r="F174" i="37"/>
  <c r="F172" i="37"/>
  <c r="F171" i="37"/>
  <c r="F170" i="37"/>
  <c r="F169" i="37"/>
  <c r="F168" i="37"/>
  <c r="F167" i="37"/>
  <c r="F166" i="37"/>
  <c r="F165" i="37"/>
  <c r="F164" i="37"/>
  <c r="F163" i="37"/>
  <c r="F161" i="37"/>
  <c r="F160" i="37"/>
  <c r="F159" i="37"/>
  <c r="F158" i="37"/>
  <c r="F157" i="37"/>
  <c r="F156" i="37"/>
  <c r="F155" i="37"/>
  <c r="F154" i="37"/>
  <c r="F153" i="37"/>
  <c r="F152" i="37"/>
  <c r="F150" i="37"/>
  <c r="F149" i="37"/>
  <c r="F148" i="37"/>
  <c r="F147" i="37"/>
  <c r="F146" i="37"/>
  <c r="F145" i="37"/>
  <c r="F144" i="37"/>
  <c r="F143" i="37"/>
  <c r="F142" i="37"/>
  <c r="F141" i="37"/>
  <c r="F140" i="37"/>
  <c r="F139" i="37"/>
  <c r="F138" i="37"/>
  <c r="F137" i="37"/>
  <c r="F136" i="37"/>
  <c r="F135" i="37"/>
  <c r="F134" i="37"/>
  <c r="D133" i="37"/>
  <c r="F131" i="37"/>
  <c r="F130" i="37"/>
  <c r="F129" i="37"/>
  <c r="F128" i="37"/>
  <c r="F126" i="37"/>
  <c r="F125" i="37"/>
  <c r="F124" i="37"/>
  <c r="F123" i="37"/>
  <c r="F122" i="37"/>
  <c r="F120" i="37"/>
  <c r="F119" i="37"/>
  <c r="F118" i="37"/>
  <c r="F117" i="37"/>
  <c r="F115" i="37"/>
  <c r="F114" i="37"/>
  <c r="F113" i="37"/>
  <c r="F112" i="37"/>
  <c r="F110" i="37"/>
  <c r="F109" i="37"/>
  <c r="F108" i="37"/>
  <c r="F107" i="37"/>
  <c r="F106" i="37"/>
  <c r="F105" i="37"/>
  <c r="F104" i="37"/>
  <c r="F103" i="37"/>
  <c r="F102" i="37"/>
  <c r="F101" i="37"/>
  <c r="F100" i="37"/>
  <c r="F98" i="37"/>
  <c r="F97" i="37"/>
  <c r="F96" i="37"/>
  <c r="D93" i="37"/>
  <c r="D92" i="37"/>
  <c r="D91" i="37"/>
  <c r="D90" i="37"/>
  <c r="D89" i="37"/>
  <c r="F87" i="37"/>
  <c r="F86" i="37"/>
  <c r="F85" i="37"/>
  <c r="F84" i="37"/>
  <c r="F83" i="37"/>
  <c r="F82" i="37"/>
  <c r="F81" i="37"/>
  <c r="F74" i="37"/>
  <c r="F291" i="37" s="1"/>
  <c r="A49" i="37"/>
  <c r="C457" i="36"/>
  <c r="C453" i="36"/>
  <c r="C452" i="36"/>
  <c r="C458" i="36" s="1"/>
  <c r="F292" i="37" l="1"/>
  <c r="F374" i="37"/>
  <c r="O24" i="17"/>
  <c r="F375" i="36"/>
  <c r="F357" i="36"/>
  <c r="F356" i="36"/>
  <c r="F355" i="36"/>
  <c r="F354" i="36"/>
  <c r="F353" i="36"/>
  <c r="F352" i="36"/>
  <c r="F351" i="36"/>
  <c r="F350" i="36"/>
  <c r="F349" i="36"/>
  <c r="F348" i="36"/>
  <c r="F347" i="36"/>
  <c r="F346" i="36"/>
  <c r="F345" i="36"/>
  <c r="F344" i="36"/>
  <c r="F343" i="36"/>
  <c r="F342" i="36"/>
  <c r="F341" i="36"/>
  <c r="F340" i="36"/>
  <c r="F339" i="36"/>
  <c r="F338" i="36"/>
  <c r="F337" i="36"/>
  <c r="F336" i="36"/>
  <c r="F335" i="36"/>
  <c r="F334" i="36"/>
  <c r="F333" i="36"/>
  <c r="F332" i="36"/>
  <c r="F331" i="36"/>
  <c r="F330" i="36"/>
  <c r="F329" i="36"/>
  <c r="F328" i="36"/>
  <c r="F327" i="36"/>
  <c r="F326" i="36"/>
  <c r="F325" i="36"/>
  <c r="F324" i="36"/>
  <c r="F323" i="36"/>
  <c r="F322" i="36"/>
  <c r="F321" i="36"/>
  <c r="F320" i="36"/>
  <c r="F319" i="36"/>
  <c r="F318" i="36"/>
  <c r="F317" i="36"/>
  <c r="F316" i="36"/>
  <c r="F315" i="36"/>
  <c r="F314" i="36"/>
  <c r="F313" i="36"/>
  <c r="F312" i="36"/>
  <c r="F311" i="36"/>
  <c r="F310" i="36"/>
  <c r="F309" i="36"/>
  <c r="F308" i="36"/>
  <c r="F307" i="36"/>
  <c r="F306" i="36"/>
  <c r="F305" i="36"/>
  <c r="F304" i="36"/>
  <c r="F303" i="36"/>
  <c r="F302" i="36"/>
  <c r="F301" i="36"/>
  <c r="F300" i="36"/>
  <c r="F299" i="36"/>
  <c r="F297" i="36"/>
  <c r="F296" i="36"/>
  <c r="F295" i="36"/>
  <c r="F294" i="36"/>
  <c r="F293" i="36"/>
  <c r="F289" i="36"/>
  <c r="F286" i="36"/>
  <c r="F285" i="36"/>
  <c r="F284" i="36"/>
  <c r="F283" i="36"/>
  <c r="F282" i="36"/>
  <c r="F281" i="36"/>
  <c r="F280" i="36"/>
  <c r="F279" i="36"/>
  <c r="F278" i="36"/>
  <c r="F277" i="36"/>
  <c r="F276" i="36"/>
  <c r="F274" i="36"/>
  <c r="F273" i="36"/>
  <c r="F272" i="36"/>
  <c r="F271" i="36"/>
  <c r="F269" i="36"/>
  <c r="F268" i="36"/>
  <c r="F266" i="36"/>
  <c r="F265" i="36"/>
  <c r="F264" i="36"/>
  <c r="F263" i="36"/>
  <c r="F262" i="36"/>
  <c r="F261" i="36"/>
  <c r="F258" i="36"/>
  <c r="F257" i="36"/>
  <c r="F255" i="36"/>
  <c r="F254" i="36"/>
  <c r="F253" i="36"/>
  <c r="F252" i="36"/>
  <c r="F251" i="36"/>
  <c r="F250" i="36"/>
  <c r="F249" i="36"/>
  <c r="F248" i="36"/>
  <c r="F247" i="36"/>
  <c r="F245" i="36"/>
  <c r="F244" i="36"/>
  <c r="F243" i="36"/>
  <c r="F242" i="36"/>
  <c r="F241" i="36"/>
  <c r="F240" i="36"/>
  <c r="F238" i="36"/>
  <c r="F237" i="36"/>
  <c r="F236" i="36"/>
  <c r="F235" i="36"/>
  <c r="F234" i="36"/>
  <c r="F232" i="36"/>
  <c r="F231" i="36"/>
  <c r="F229" i="36"/>
  <c r="F228" i="36"/>
  <c r="F227" i="36"/>
  <c r="F226" i="36"/>
  <c r="F224" i="36"/>
  <c r="F223" i="36"/>
  <c r="F221" i="36"/>
  <c r="F220" i="36"/>
  <c r="F219" i="36"/>
  <c r="F216" i="36"/>
  <c r="F215" i="36"/>
  <c r="F214" i="36"/>
  <c r="F213" i="36"/>
  <c r="F212" i="36"/>
  <c r="F210" i="36"/>
  <c r="F209" i="36"/>
  <c r="F208" i="36"/>
  <c r="F206" i="36"/>
  <c r="F205" i="36"/>
  <c r="F204" i="36"/>
  <c r="F203" i="36"/>
  <c r="F201" i="36"/>
  <c r="F200" i="36"/>
  <c r="F199" i="36"/>
  <c r="F198" i="36"/>
  <c r="F197" i="36"/>
  <c r="F196" i="36"/>
  <c r="F195" i="36"/>
  <c r="F194" i="36"/>
  <c r="F193" i="36"/>
  <c r="F192" i="36"/>
  <c r="F191" i="36"/>
  <c r="F190" i="36"/>
  <c r="F188" i="36"/>
  <c r="F187" i="36"/>
  <c r="F186" i="36"/>
  <c r="F185" i="36"/>
  <c r="F184" i="36"/>
  <c r="F183" i="36"/>
  <c r="F181" i="36"/>
  <c r="F180" i="36"/>
  <c r="F178" i="36"/>
  <c r="F177" i="36"/>
  <c r="F176" i="36"/>
  <c r="F175" i="36"/>
  <c r="F174" i="36"/>
  <c r="F172" i="36"/>
  <c r="F171" i="36"/>
  <c r="F170" i="36"/>
  <c r="F169" i="36"/>
  <c r="F168" i="36"/>
  <c r="F167" i="36"/>
  <c r="F166" i="36"/>
  <c r="F165" i="36"/>
  <c r="F164" i="36"/>
  <c r="F163" i="36"/>
  <c r="F161" i="36"/>
  <c r="F160" i="36"/>
  <c r="F159" i="36"/>
  <c r="F158" i="36"/>
  <c r="F157" i="36"/>
  <c r="F156" i="36"/>
  <c r="F155" i="36"/>
  <c r="F154" i="36"/>
  <c r="F153" i="36"/>
  <c r="F152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D133" i="36"/>
  <c r="F131" i="36"/>
  <c r="F130" i="36"/>
  <c r="F129" i="36"/>
  <c r="F128" i="36"/>
  <c r="F126" i="36"/>
  <c r="F125" i="36"/>
  <c r="F124" i="36"/>
  <c r="F123" i="36"/>
  <c r="F122" i="36"/>
  <c r="F120" i="36"/>
  <c r="F119" i="36"/>
  <c r="F118" i="36"/>
  <c r="F117" i="36"/>
  <c r="F115" i="36"/>
  <c r="F114" i="36"/>
  <c r="F113" i="36"/>
  <c r="F112" i="36"/>
  <c r="F110" i="36"/>
  <c r="F109" i="36"/>
  <c r="F108" i="36"/>
  <c r="F107" i="36"/>
  <c r="F106" i="36"/>
  <c r="F105" i="36"/>
  <c r="F104" i="36"/>
  <c r="F103" i="36"/>
  <c r="F102" i="36"/>
  <c r="F101" i="36"/>
  <c r="F100" i="36"/>
  <c r="F98" i="36"/>
  <c r="F97" i="36"/>
  <c r="F96" i="36"/>
  <c r="D93" i="36"/>
  <c r="D92" i="36"/>
  <c r="D91" i="36"/>
  <c r="D90" i="36"/>
  <c r="D89" i="36"/>
  <c r="F87" i="36"/>
  <c r="F86" i="36"/>
  <c r="F85" i="36"/>
  <c r="F84" i="36"/>
  <c r="F83" i="36"/>
  <c r="F82" i="36"/>
  <c r="F81" i="36"/>
  <c r="F74" i="36"/>
  <c r="A49" i="36"/>
  <c r="M39" i="19"/>
  <c r="O39" i="19" s="1"/>
  <c r="P39" i="19" s="1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5" i="31"/>
  <c r="D4" i="31"/>
  <c r="D3" i="31"/>
  <c r="D2" i="31"/>
  <c r="F374" i="36" l="1"/>
  <c r="F376" i="36" s="1"/>
  <c r="D39" i="34"/>
  <c r="D769" i="34"/>
  <c r="F291" i="36"/>
  <c r="F372" i="36"/>
  <c r="F292" i="36"/>
  <c r="D41" i="31"/>
  <c r="E81" i="17" l="1"/>
  <c r="E4" i="25" l="1"/>
  <c r="L4" i="25" s="1"/>
  <c r="E11" i="25"/>
  <c r="E13" i="25"/>
  <c r="E12" i="25"/>
  <c r="L5" i="26"/>
  <c r="L51" i="26"/>
  <c r="L43" i="26"/>
  <c r="L40" i="26"/>
  <c r="L39" i="26"/>
  <c r="L38" i="26"/>
  <c r="L33" i="26"/>
  <c r="L31" i="26"/>
  <c r="L30" i="26"/>
  <c r="L21" i="26"/>
  <c r="L20" i="26"/>
  <c r="L19" i="26"/>
  <c r="L18" i="26"/>
  <c r="L17" i="26"/>
  <c r="L22" i="26"/>
  <c r="L16" i="26"/>
  <c r="L4" i="26"/>
  <c r="M17" i="19"/>
  <c r="L45" i="26"/>
  <c r="N11" i="20" l="1"/>
  <c r="N11" i="41"/>
  <c r="N9" i="41" s="1"/>
  <c r="N63" i="41" s="1"/>
  <c r="M11" i="20"/>
  <c r="M12" i="17" s="1"/>
  <c r="M11" i="41"/>
  <c r="L8" i="26"/>
  <c r="L14" i="40" s="1"/>
  <c r="L17" i="25"/>
  <c r="L18" i="25"/>
  <c r="L7" i="25"/>
  <c r="M17" i="41" s="1"/>
  <c r="O17" i="41" s="1"/>
  <c r="P17" i="41" s="1"/>
  <c r="L27" i="26"/>
  <c r="L37" i="26"/>
  <c r="L34" i="26"/>
  <c r="L32" i="26"/>
  <c r="L29" i="26"/>
  <c r="L28" i="26"/>
  <c r="L26" i="26"/>
  <c r="E25" i="26"/>
  <c r="L25" i="26" s="1"/>
  <c r="L24" i="26"/>
  <c r="L6" i="26"/>
  <c r="E3" i="26"/>
  <c r="L3" i="26" s="1"/>
  <c r="L2" i="26"/>
  <c r="N19" i="17"/>
  <c r="L19" i="17"/>
  <c r="C6" i="17"/>
  <c r="C7" i="17" s="1"/>
  <c r="N34" i="17"/>
  <c r="M11" i="38" l="1"/>
  <c r="L15" i="41"/>
  <c r="O11" i="41"/>
  <c r="P11" i="41" s="1"/>
  <c r="L14" i="19"/>
  <c r="M17" i="20"/>
  <c r="L15" i="20"/>
  <c r="L49" i="26"/>
  <c r="N16" i="40" s="1"/>
  <c r="N13" i="40" l="1"/>
  <c r="N66" i="40" s="1"/>
  <c r="L13" i="41"/>
  <c r="L63" i="41" s="1"/>
  <c r="M18" i="17"/>
  <c r="M17" i="38"/>
  <c r="O17" i="38" s="1"/>
  <c r="P17" i="38" s="1"/>
  <c r="L15" i="17"/>
  <c r="L14" i="38"/>
  <c r="N16" i="19"/>
  <c r="L10" i="25"/>
  <c r="N17" i="17" l="1"/>
  <c r="N16" i="38"/>
  <c r="N13" i="38" s="1"/>
  <c r="L6" i="25"/>
  <c r="M16" i="41" s="1"/>
  <c r="O16" i="41" s="1"/>
  <c r="P16" i="41" s="1"/>
  <c r="M38" i="17"/>
  <c r="M34" i="17" s="1"/>
  <c r="L9" i="26"/>
  <c r="M16" i="40" s="1"/>
  <c r="O16" i="40" s="1"/>
  <c r="P16" i="40" s="1"/>
  <c r="M16" i="19" l="1"/>
  <c r="M16" i="20"/>
  <c r="L9" i="25"/>
  <c r="L11" i="25"/>
  <c r="M15" i="41" s="1"/>
  <c r="O15" i="41" s="1"/>
  <c r="P15" i="41" s="1"/>
  <c r="M17" i="17" l="1"/>
  <c r="M16" i="38"/>
  <c r="O16" i="38" s="1"/>
  <c r="P16" i="38" s="1"/>
  <c r="M15" i="20"/>
  <c r="M15" i="38" s="1"/>
  <c r="L5" i="25"/>
  <c r="L7" i="26"/>
  <c r="M14" i="40" s="1"/>
  <c r="I52" i="26"/>
  <c r="L52" i="26" s="1"/>
  <c r="L20" i="40" s="1"/>
  <c r="O20" i="40" s="1"/>
  <c r="P20" i="40" s="1"/>
  <c r="L23" i="26"/>
  <c r="L15" i="26"/>
  <c r="M14" i="41" l="1"/>
  <c r="O14" i="41" s="1"/>
  <c r="L33" i="25"/>
  <c r="M13" i="40"/>
  <c r="M66" i="40" s="1"/>
  <c r="O14" i="40"/>
  <c r="P14" i="40" s="1"/>
  <c r="M16" i="17"/>
  <c r="M14" i="20"/>
  <c r="M14" i="19"/>
  <c r="L20" i="19"/>
  <c r="L20" i="38" s="1"/>
  <c r="O20" i="38" s="1"/>
  <c r="P20" i="38" s="1"/>
  <c r="L13" i="25"/>
  <c r="E44" i="26"/>
  <c r="L44" i="26" s="1"/>
  <c r="I46" i="26"/>
  <c r="L46" i="26" s="1"/>
  <c r="C6" i="19"/>
  <c r="E11" i="26"/>
  <c r="L11" i="26" s="1"/>
  <c r="L47" i="26"/>
  <c r="I14" i="26"/>
  <c r="I13" i="26"/>
  <c r="I12" i="26"/>
  <c r="L12" i="26" s="1"/>
  <c r="M13" i="41" l="1"/>
  <c r="P14" i="41"/>
  <c r="P13" i="41" s="1"/>
  <c r="O13" i="41"/>
  <c r="M14" i="38"/>
  <c r="O14" i="38" s="1"/>
  <c r="M15" i="17"/>
  <c r="L21" i="17"/>
  <c r="L13" i="26"/>
  <c r="P14" i="38" l="1"/>
  <c r="I50" i="26"/>
  <c r="L50" i="26" s="1"/>
  <c r="L15" i="40" s="1"/>
  <c r="O15" i="40" l="1"/>
  <c r="L13" i="40"/>
  <c r="L66" i="40" s="1"/>
  <c r="L15" i="19"/>
  <c r="I35" i="26"/>
  <c r="L35" i="26" s="1"/>
  <c r="L64" i="26" s="1"/>
  <c r="L40" i="17"/>
  <c r="L34" i="17" s="1"/>
  <c r="O34" i="17" s="1"/>
  <c r="G16" i="25"/>
  <c r="I16" i="25" s="1"/>
  <c r="L16" i="25" s="1"/>
  <c r="L12" i="20" s="1"/>
  <c r="O12" i="20" s="1"/>
  <c r="L12" i="19"/>
  <c r="L12" i="38" l="1"/>
  <c r="L13" i="17"/>
  <c r="O13" i="40"/>
  <c r="O66" i="40" s="1"/>
  <c r="P66" i="40" s="1"/>
  <c r="P15" i="40"/>
  <c r="P13" i="40" s="1"/>
  <c r="P52" i="40" s="1"/>
  <c r="P58" i="40" s="1"/>
  <c r="L15" i="38"/>
  <c r="L13" i="38" s="1"/>
  <c r="L13" i="19"/>
  <c r="L61" i="26"/>
  <c r="L62" i="26"/>
  <c r="L63" i="26"/>
  <c r="L16" i="17"/>
  <c r="O12" i="38" l="1"/>
  <c r="P12" i="38" s="1"/>
  <c r="L9" i="38"/>
  <c r="O15" i="38"/>
  <c r="L12" i="25"/>
  <c r="P15" i="38" l="1"/>
  <c r="L2" i="25"/>
  <c r="L32" i="25" s="1"/>
  <c r="M18" i="20" s="1"/>
  <c r="M18" i="38" l="1"/>
  <c r="M19" i="17"/>
  <c r="M10" i="41"/>
  <c r="M10" i="38"/>
  <c r="M11" i="17"/>
  <c r="M10" i="20"/>
  <c r="J69" i="19"/>
  <c r="I14" i="17"/>
  <c r="O18" i="38" l="1"/>
  <c r="M13" i="38"/>
  <c r="O10" i="41"/>
  <c r="P10" i="41" s="1"/>
  <c r="P9" i="41" s="1"/>
  <c r="P56" i="41" s="1"/>
  <c r="P62" i="41" s="1"/>
  <c r="M9" i="41"/>
  <c r="O10" i="38"/>
  <c r="P10" i="38" s="1"/>
  <c r="M9" i="38"/>
  <c r="C5" i="20"/>
  <c r="C6" i="20" s="1"/>
  <c r="N43" i="20"/>
  <c r="M43" i="20"/>
  <c r="L43" i="20"/>
  <c r="J43" i="20"/>
  <c r="K43" i="20" s="1"/>
  <c r="O42" i="20"/>
  <c r="J42" i="20"/>
  <c r="O41" i="20"/>
  <c r="J41" i="20"/>
  <c r="O40" i="20"/>
  <c r="J40" i="20"/>
  <c r="J33" i="20"/>
  <c r="J29" i="20"/>
  <c r="K29" i="20" s="1"/>
  <c r="J28" i="20"/>
  <c r="K28" i="20" s="1"/>
  <c r="J27" i="20"/>
  <c r="K27" i="20" s="1"/>
  <c r="J26" i="20"/>
  <c r="K26" i="20" s="1"/>
  <c r="J25" i="20"/>
  <c r="K25" i="20" s="1"/>
  <c r="J24" i="20"/>
  <c r="K24" i="20" s="1"/>
  <c r="J23" i="20"/>
  <c r="O21" i="20"/>
  <c r="P21" i="20" s="1"/>
  <c r="O20" i="20"/>
  <c r="P20" i="20" s="1"/>
  <c r="O19" i="20"/>
  <c r="J19" i="20"/>
  <c r="K19" i="20" s="1"/>
  <c r="O18" i="20"/>
  <c r="J18" i="20"/>
  <c r="K18" i="20" s="1"/>
  <c r="O17" i="20"/>
  <c r="J17" i="20"/>
  <c r="K17" i="20" s="1"/>
  <c r="O16" i="20"/>
  <c r="J16" i="20"/>
  <c r="K16" i="20" s="1"/>
  <c r="O15" i="20"/>
  <c r="J15" i="20"/>
  <c r="K15" i="20" s="1"/>
  <c r="J14" i="20"/>
  <c r="N13" i="20"/>
  <c r="M13" i="20"/>
  <c r="I13" i="20"/>
  <c r="J12" i="20"/>
  <c r="K12" i="20" s="1"/>
  <c r="J11" i="20"/>
  <c r="K11" i="20" s="1"/>
  <c r="O10" i="20"/>
  <c r="J10" i="20"/>
  <c r="K10" i="20" s="1"/>
  <c r="N9" i="20"/>
  <c r="L9" i="20"/>
  <c r="I9" i="20"/>
  <c r="P18" i="38" l="1"/>
  <c r="P13" i="38" s="1"/>
  <c r="P49" i="38" s="1"/>
  <c r="O13" i="38"/>
  <c r="M63" i="41"/>
  <c r="O9" i="41"/>
  <c r="O63" i="41" s="1"/>
  <c r="P63" i="41" s="1"/>
  <c r="J22" i="20"/>
  <c r="I22" i="20" s="1"/>
  <c r="M37" i="20"/>
  <c r="M33" i="20" s="1"/>
  <c r="N39" i="20"/>
  <c r="L39" i="20"/>
  <c r="O39" i="20" s="1"/>
  <c r="P39" i="20" s="1"/>
  <c r="P12" i="20"/>
  <c r="M9" i="20"/>
  <c r="O9" i="20" s="1"/>
  <c r="L34" i="20"/>
  <c r="M30" i="20"/>
  <c r="N36" i="20"/>
  <c r="O36" i="20" s="1"/>
  <c r="P36" i="20" s="1"/>
  <c r="N26" i="20"/>
  <c r="L37" i="20"/>
  <c r="L30" i="20"/>
  <c r="O30" i="20" s="1"/>
  <c r="P30" i="20" s="1"/>
  <c r="P50" i="20" s="1"/>
  <c r="L25" i="20"/>
  <c r="O25" i="20" s="1"/>
  <c r="N29" i="20"/>
  <c r="L32" i="20"/>
  <c r="O32" i="20" s="1"/>
  <c r="P32" i="20" s="1"/>
  <c r="P52" i="20" s="1"/>
  <c r="L26" i="20"/>
  <c r="M29" i="20"/>
  <c r="L31" i="20"/>
  <c r="O31" i="20" s="1"/>
  <c r="P31" i="20" s="1"/>
  <c r="P51" i="20" s="1"/>
  <c r="L27" i="20"/>
  <c r="O27" i="20" s="1"/>
  <c r="P27" i="20" s="1"/>
  <c r="P48" i="20" s="1"/>
  <c r="N35" i="20"/>
  <c r="L28" i="20"/>
  <c r="O28" i="20" s="1"/>
  <c r="P28" i="20" s="1"/>
  <c r="P59" i="20" s="1"/>
  <c r="L24" i="20"/>
  <c r="O43" i="20"/>
  <c r="P43" i="20" s="1"/>
  <c r="J9" i="20"/>
  <c r="K9" i="20" s="1"/>
  <c r="O11" i="20"/>
  <c r="P11" i="20" s="1"/>
  <c r="P25" i="20"/>
  <c r="P47" i="20" s="1"/>
  <c r="K40" i="20"/>
  <c r="P40" i="20" s="1"/>
  <c r="O23" i="20"/>
  <c r="J13" i="20"/>
  <c r="K33" i="20"/>
  <c r="K42" i="20"/>
  <c r="P42" i="20" s="1"/>
  <c r="P60" i="20" s="1"/>
  <c r="K41" i="20"/>
  <c r="P41" i="20" s="1"/>
  <c r="P61" i="20" s="1"/>
  <c r="P19" i="20"/>
  <c r="P18" i="20"/>
  <c r="P17" i="20"/>
  <c r="P16" i="20"/>
  <c r="P15" i="20"/>
  <c r="P10" i="20"/>
  <c r="H63" i="20"/>
  <c r="G63" i="20" s="1"/>
  <c r="D63" i="20"/>
  <c r="F63" i="20"/>
  <c r="E63" i="20" s="1"/>
  <c r="K14" i="20"/>
  <c r="K23" i="20"/>
  <c r="O24" i="20" l="1"/>
  <c r="P24" i="20" s="1"/>
  <c r="L22" i="20"/>
  <c r="N33" i="20"/>
  <c r="M22" i="20"/>
  <c r="M63" i="20" s="1"/>
  <c r="K22" i="20"/>
  <c r="N22" i="20"/>
  <c r="N63" i="20" s="1"/>
  <c r="L33" i="20"/>
  <c r="J63" i="20"/>
  <c r="I63" i="20" s="1"/>
  <c r="O35" i="20"/>
  <c r="P35" i="20" s="1"/>
  <c r="O34" i="20"/>
  <c r="O29" i="20"/>
  <c r="P29" i="20" s="1"/>
  <c r="P49" i="20" s="1"/>
  <c r="O37" i="20"/>
  <c r="P37" i="20" s="1"/>
  <c r="O26" i="20"/>
  <c r="P26" i="20" s="1"/>
  <c r="P58" i="20" s="1"/>
  <c r="P23" i="20"/>
  <c r="O14" i="20"/>
  <c r="O13" i="20" s="1"/>
  <c r="L13" i="20"/>
  <c r="P9" i="20"/>
  <c r="P56" i="20" s="1"/>
  <c r="K13" i="20"/>
  <c r="K63" i="20" s="1"/>
  <c r="F66" i="20"/>
  <c r="C63" i="20"/>
  <c r="P57" i="20" l="1"/>
  <c r="P62" i="20" s="1"/>
  <c r="J66" i="20"/>
  <c r="O33" i="20"/>
  <c r="O22" i="20"/>
  <c r="O63" i="20" s="1"/>
  <c r="L63" i="20"/>
  <c r="P14" i="20"/>
  <c r="P13" i="20" s="1"/>
  <c r="P53" i="20" s="1"/>
  <c r="P34" i="20"/>
  <c r="P33" i="20"/>
  <c r="K66" i="20"/>
  <c r="P22" i="20" l="1"/>
  <c r="P63" i="20"/>
  <c r="O12" i="19"/>
  <c r="C5" i="19"/>
  <c r="N11" i="19" s="1"/>
  <c r="E85" i="19"/>
  <c r="E84" i="19"/>
  <c r="E83" i="19"/>
  <c r="E82" i="19"/>
  <c r="E81" i="19"/>
  <c r="E79" i="19"/>
  <c r="E77" i="19"/>
  <c r="E76" i="19"/>
  <c r="E75" i="19"/>
  <c r="E74" i="19"/>
  <c r="H44" i="19"/>
  <c r="F44" i="19"/>
  <c r="D44" i="19"/>
  <c r="O43" i="19"/>
  <c r="H43" i="19"/>
  <c r="F43" i="19"/>
  <c r="D43" i="19"/>
  <c r="O42" i="19"/>
  <c r="H42" i="19"/>
  <c r="F42" i="19"/>
  <c r="D42" i="19"/>
  <c r="O41" i="19"/>
  <c r="H41" i="19"/>
  <c r="F41" i="19"/>
  <c r="D41" i="19"/>
  <c r="H33" i="19"/>
  <c r="F33" i="19"/>
  <c r="D33" i="19"/>
  <c r="H29" i="19"/>
  <c r="F29" i="19"/>
  <c r="D29" i="19"/>
  <c r="H28" i="19"/>
  <c r="F28" i="19"/>
  <c r="D28" i="19"/>
  <c r="H27" i="19"/>
  <c r="F27" i="19"/>
  <c r="D27" i="19"/>
  <c r="H26" i="19"/>
  <c r="F26" i="19"/>
  <c r="D26" i="19"/>
  <c r="H25" i="19"/>
  <c r="F25" i="19"/>
  <c r="D25" i="19"/>
  <c r="H24" i="19"/>
  <c r="F24" i="19"/>
  <c r="D24" i="19"/>
  <c r="H23" i="19"/>
  <c r="F23" i="19"/>
  <c r="D23" i="19"/>
  <c r="L46" i="19"/>
  <c r="L45" i="38" s="1"/>
  <c r="L43" i="38" s="1"/>
  <c r="O43" i="38" s="1"/>
  <c r="P43" i="38" s="1"/>
  <c r="O20" i="19"/>
  <c r="P20" i="19" s="1"/>
  <c r="O19" i="19"/>
  <c r="H19" i="19"/>
  <c r="F19" i="19"/>
  <c r="D19" i="19"/>
  <c r="O18" i="19"/>
  <c r="H18" i="19"/>
  <c r="F18" i="19"/>
  <c r="D18" i="19"/>
  <c r="O17" i="19"/>
  <c r="H17" i="19"/>
  <c r="F17" i="19"/>
  <c r="D17" i="19"/>
  <c r="O16" i="19"/>
  <c r="H16" i="19"/>
  <c r="F16" i="19"/>
  <c r="D16" i="19"/>
  <c r="O15" i="19"/>
  <c r="H15" i="19"/>
  <c r="F15" i="19"/>
  <c r="D15" i="19"/>
  <c r="H14" i="19"/>
  <c r="F14" i="19"/>
  <c r="D14" i="19"/>
  <c r="N13" i="19"/>
  <c r="M13" i="19"/>
  <c r="G13" i="19"/>
  <c r="E13" i="19"/>
  <c r="C13" i="19"/>
  <c r="H12" i="19"/>
  <c r="F12" i="19"/>
  <c r="D12" i="19"/>
  <c r="H11" i="19"/>
  <c r="F11" i="19"/>
  <c r="D11" i="19"/>
  <c r="O10" i="19"/>
  <c r="H10" i="19"/>
  <c r="F10" i="19"/>
  <c r="D10" i="19"/>
  <c r="M9" i="19"/>
  <c r="G9" i="19"/>
  <c r="E9" i="19"/>
  <c r="C9" i="19"/>
  <c r="N12" i="17" l="1"/>
  <c r="N11" i="38"/>
  <c r="F22" i="19"/>
  <c r="H22" i="19"/>
  <c r="D22" i="19"/>
  <c r="L44" i="19"/>
  <c r="O44" i="19" s="1"/>
  <c r="L46" i="17"/>
  <c r="L44" i="17" s="1"/>
  <c r="D9" i="19"/>
  <c r="N40" i="19"/>
  <c r="M37" i="19"/>
  <c r="M33" i="19" s="1"/>
  <c r="L40" i="19"/>
  <c r="K42" i="19"/>
  <c r="P42" i="19" s="1"/>
  <c r="E22" i="19"/>
  <c r="G22" i="19"/>
  <c r="O14" i="19"/>
  <c r="N29" i="19"/>
  <c r="L32" i="19"/>
  <c r="O32" i="19" s="1"/>
  <c r="P32" i="19" s="1"/>
  <c r="P57" i="19" s="1"/>
  <c r="L27" i="19"/>
  <c r="L27" i="38" s="1"/>
  <c r="O27" i="38" s="1"/>
  <c r="P27" i="38" s="1"/>
  <c r="O23" i="19"/>
  <c r="L37" i="19"/>
  <c r="L25" i="19"/>
  <c r="L25" i="38" s="1"/>
  <c r="O25" i="38" s="1"/>
  <c r="P25" i="38" s="1"/>
  <c r="N35" i="19"/>
  <c r="L34" i="19"/>
  <c r="M29" i="19"/>
  <c r="L28" i="19"/>
  <c r="L28" i="38" s="1"/>
  <c r="O28" i="38" s="1"/>
  <c r="P28" i="38" s="1"/>
  <c r="P55" i="38" s="1"/>
  <c r="L24" i="19"/>
  <c r="N36" i="19"/>
  <c r="O36" i="19" s="1"/>
  <c r="P36" i="19" s="1"/>
  <c r="L30" i="19"/>
  <c r="N26" i="19"/>
  <c r="L31" i="19"/>
  <c r="O31" i="19" s="1"/>
  <c r="P31" i="19" s="1"/>
  <c r="P53" i="19" s="1"/>
  <c r="L26" i="19"/>
  <c r="M30" i="19"/>
  <c r="K19" i="19"/>
  <c r="P19" i="19" s="1"/>
  <c r="H9" i="19"/>
  <c r="L9" i="19"/>
  <c r="F9" i="19"/>
  <c r="F13" i="19"/>
  <c r="K29" i="19"/>
  <c r="K10" i="19"/>
  <c r="P10" i="19" s="1"/>
  <c r="K11" i="19"/>
  <c r="K12" i="19"/>
  <c r="P12" i="19" s="1"/>
  <c r="K17" i="19"/>
  <c r="P17" i="19" s="1"/>
  <c r="K25" i="19"/>
  <c r="K28" i="19"/>
  <c r="K44" i="19"/>
  <c r="E78" i="19"/>
  <c r="E86" i="19"/>
  <c r="G86" i="19" s="1"/>
  <c r="K15" i="19"/>
  <c r="P15" i="19" s="1"/>
  <c r="K18" i="19"/>
  <c r="P18" i="19" s="1"/>
  <c r="K26" i="19"/>
  <c r="K41" i="19"/>
  <c r="P41" i="19" s="1"/>
  <c r="D13" i="19"/>
  <c r="K16" i="19"/>
  <c r="P16" i="19" s="1"/>
  <c r="H13" i="19"/>
  <c r="K24" i="19"/>
  <c r="K27" i="19"/>
  <c r="K33" i="19"/>
  <c r="K43" i="19"/>
  <c r="P43" i="19" s="1"/>
  <c r="P63" i="19" s="1"/>
  <c r="K14" i="19"/>
  <c r="K23" i="19"/>
  <c r="O33" i="17"/>
  <c r="P33" i="17" s="1"/>
  <c r="P52" i="17" s="1"/>
  <c r="O32" i="17"/>
  <c r="P32" i="17" s="1"/>
  <c r="P51" i="17" s="1"/>
  <c r="E80" i="17"/>
  <c r="E79" i="17"/>
  <c r="E78" i="17"/>
  <c r="E77" i="17"/>
  <c r="E76" i="17"/>
  <c r="E70" i="17"/>
  <c r="O40" i="19" l="1"/>
  <c r="P40" i="19" s="1"/>
  <c r="C22" i="19"/>
  <c r="K22" i="19"/>
  <c r="L27" i="17"/>
  <c r="L26" i="38"/>
  <c r="M29" i="38"/>
  <c r="M22" i="19"/>
  <c r="N30" i="17"/>
  <c r="N29" i="38"/>
  <c r="M31" i="17"/>
  <c r="M30" i="38"/>
  <c r="N27" i="17"/>
  <c r="N23" i="17" s="1"/>
  <c r="N26" i="38"/>
  <c r="N22" i="38" s="1"/>
  <c r="N22" i="19"/>
  <c r="L24" i="38"/>
  <c r="L22" i="19"/>
  <c r="L31" i="17"/>
  <c r="L30" i="38"/>
  <c r="N9" i="38"/>
  <c r="O11" i="38"/>
  <c r="P11" i="38" s="1"/>
  <c r="P9" i="38" s="1"/>
  <c r="P52" i="38" s="1"/>
  <c r="O28" i="19"/>
  <c r="P28" i="19" s="1"/>
  <c r="P61" i="19" s="1"/>
  <c r="L29" i="17"/>
  <c r="O25" i="19"/>
  <c r="L26" i="17"/>
  <c r="O24" i="19"/>
  <c r="P24" i="19" s="1"/>
  <c r="P62" i="19" s="1"/>
  <c r="L25" i="17"/>
  <c r="O29" i="19"/>
  <c r="P29" i="19" s="1"/>
  <c r="P55" i="19" s="1"/>
  <c r="M30" i="17"/>
  <c r="O37" i="19"/>
  <c r="P37" i="19" s="1"/>
  <c r="O27" i="19"/>
  <c r="P27" i="19" s="1"/>
  <c r="P54" i="19" s="1"/>
  <c r="L28" i="17"/>
  <c r="G78" i="19"/>
  <c r="P60" i="19" s="1"/>
  <c r="K48" i="19"/>
  <c r="M66" i="19"/>
  <c r="D66" i="19"/>
  <c r="C66" i="19" s="1"/>
  <c r="O11" i="19"/>
  <c r="P11" i="19" s="1"/>
  <c r="P9" i="19" s="1"/>
  <c r="P51" i="19" s="1"/>
  <c r="N9" i="19"/>
  <c r="O9" i="19" s="1"/>
  <c r="N33" i="19"/>
  <c r="L33" i="19"/>
  <c r="O13" i="19"/>
  <c r="P44" i="19"/>
  <c r="P25" i="19"/>
  <c r="P23" i="19"/>
  <c r="O35" i="19"/>
  <c r="P35" i="19" s="1"/>
  <c r="O34" i="19"/>
  <c r="O26" i="19"/>
  <c r="P26" i="19" s="1"/>
  <c r="O30" i="19"/>
  <c r="P30" i="19" s="1"/>
  <c r="P56" i="19" s="1"/>
  <c r="H66" i="19"/>
  <c r="G66" i="19" s="1"/>
  <c r="K9" i="19"/>
  <c r="F66" i="19"/>
  <c r="E66" i="19" s="1"/>
  <c r="K13" i="19"/>
  <c r="P14" i="19"/>
  <c r="P13" i="19" s="1"/>
  <c r="P52" i="19" s="1"/>
  <c r="E74" i="17"/>
  <c r="E69" i="17"/>
  <c r="E72" i="17"/>
  <c r="E71" i="17"/>
  <c r="O30" i="38" l="1"/>
  <c r="P30" i="38" s="1"/>
  <c r="E82" i="17"/>
  <c r="G82" i="17" s="1"/>
  <c r="P64" i="19"/>
  <c r="M23" i="17"/>
  <c r="K66" i="19"/>
  <c r="M22" i="38"/>
  <c r="M60" i="38" s="1"/>
  <c r="O29" i="38"/>
  <c r="P29" i="38" s="1"/>
  <c r="O26" i="38"/>
  <c r="P26" i="38" s="1"/>
  <c r="N60" i="38"/>
  <c r="O9" i="38"/>
  <c r="O24" i="38"/>
  <c r="P24" i="38" s="1"/>
  <c r="P56" i="38" s="1"/>
  <c r="P54" i="38" s="1"/>
  <c r="P59" i="38" s="1"/>
  <c r="L22" i="38"/>
  <c r="L23" i="17"/>
  <c r="P48" i="19"/>
  <c r="N66" i="19"/>
  <c r="L66" i="19"/>
  <c r="P34" i="19"/>
  <c r="O33" i="19"/>
  <c r="P33" i="19" s="1"/>
  <c r="O22" i="19"/>
  <c r="O66" i="19" s="1"/>
  <c r="F69" i="19"/>
  <c r="K69" i="19" s="1"/>
  <c r="P58" i="19"/>
  <c r="E73" i="17"/>
  <c r="G73" i="17" s="1"/>
  <c r="O31" i="17"/>
  <c r="P31" i="17" s="1"/>
  <c r="M14" i="17"/>
  <c r="N14" i="17"/>
  <c r="I10" i="17"/>
  <c r="G10" i="17"/>
  <c r="C10" i="17"/>
  <c r="M10" i="17"/>
  <c r="N10" i="17"/>
  <c r="L10" i="17"/>
  <c r="O27" i="17"/>
  <c r="J44" i="17"/>
  <c r="H44" i="17"/>
  <c r="F44" i="17"/>
  <c r="D44" i="17"/>
  <c r="L43" i="17"/>
  <c r="O43" i="17" s="1"/>
  <c r="J43" i="17"/>
  <c r="H43" i="17"/>
  <c r="F43" i="17"/>
  <c r="D43" i="17"/>
  <c r="O42" i="17"/>
  <c r="J42" i="17"/>
  <c r="H42" i="17"/>
  <c r="F42" i="17"/>
  <c r="D42" i="17"/>
  <c r="O41" i="17"/>
  <c r="J41" i="17"/>
  <c r="H41" i="17"/>
  <c r="F41" i="17"/>
  <c r="D41" i="17"/>
  <c r="O40" i="17"/>
  <c r="P40" i="17" s="1"/>
  <c r="O37" i="17"/>
  <c r="P37" i="17" s="1"/>
  <c r="O36" i="17"/>
  <c r="P36" i="17" s="1"/>
  <c r="O35" i="17"/>
  <c r="J34" i="17"/>
  <c r="H34" i="17"/>
  <c r="F34" i="17"/>
  <c r="D34" i="17"/>
  <c r="O30" i="17"/>
  <c r="J30" i="17"/>
  <c r="H30" i="17"/>
  <c r="F30" i="17"/>
  <c r="D30" i="17"/>
  <c r="O29" i="17"/>
  <c r="J29" i="17"/>
  <c r="H29" i="17"/>
  <c r="F29" i="17"/>
  <c r="D29" i="17"/>
  <c r="O28" i="17"/>
  <c r="J28" i="17"/>
  <c r="H28" i="17"/>
  <c r="F28" i="17"/>
  <c r="D28" i="17"/>
  <c r="J27" i="17"/>
  <c r="H27" i="17"/>
  <c r="F27" i="17"/>
  <c r="D27" i="17"/>
  <c r="O26" i="17"/>
  <c r="J26" i="17"/>
  <c r="H26" i="17"/>
  <c r="F26" i="17"/>
  <c r="D26" i="17"/>
  <c r="O25" i="17"/>
  <c r="J25" i="17"/>
  <c r="H25" i="17"/>
  <c r="F25" i="17"/>
  <c r="D25" i="17"/>
  <c r="J24" i="17"/>
  <c r="H24" i="17"/>
  <c r="F24" i="17"/>
  <c r="D24" i="17"/>
  <c r="O22" i="17"/>
  <c r="O21" i="17"/>
  <c r="P21" i="17" s="1"/>
  <c r="O20" i="17"/>
  <c r="J20" i="17"/>
  <c r="H20" i="17"/>
  <c r="F20" i="17"/>
  <c r="D20" i="17"/>
  <c r="O19" i="17"/>
  <c r="J19" i="17"/>
  <c r="H19" i="17"/>
  <c r="F19" i="17"/>
  <c r="D19" i="17"/>
  <c r="O18" i="17"/>
  <c r="J18" i="17"/>
  <c r="H18" i="17"/>
  <c r="F18" i="17"/>
  <c r="D18" i="17"/>
  <c r="O17" i="17"/>
  <c r="J17" i="17"/>
  <c r="H17" i="17"/>
  <c r="F17" i="17"/>
  <c r="D17" i="17"/>
  <c r="O16" i="17"/>
  <c r="J16" i="17"/>
  <c r="H16" i="17"/>
  <c r="F16" i="17"/>
  <c r="D16" i="17"/>
  <c r="O15" i="17"/>
  <c r="J15" i="17"/>
  <c r="H15" i="17"/>
  <c r="F15" i="17"/>
  <c r="D15" i="17"/>
  <c r="G14" i="17"/>
  <c r="E14" i="17"/>
  <c r="C14" i="17"/>
  <c r="O13" i="17"/>
  <c r="J13" i="17"/>
  <c r="H13" i="17"/>
  <c r="F13" i="17"/>
  <c r="D13" i="17"/>
  <c r="O12" i="17"/>
  <c r="J12" i="17"/>
  <c r="H12" i="17"/>
  <c r="F12" i="17"/>
  <c r="D12" i="17"/>
  <c r="O11" i="17"/>
  <c r="J11" i="17"/>
  <c r="H11" i="17"/>
  <c r="F11" i="17"/>
  <c r="D11" i="17"/>
  <c r="E10" i="17"/>
  <c r="K44" i="41" l="1"/>
  <c r="P44" i="41" s="1"/>
  <c r="K44" i="20"/>
  <c r="F23" i="17"/>
  <c r="E23" i="17" s="1"/>
  <c r="D23" i="17"/>
  <c r="H23" i="17"/>
  <c r="G23" i="17" s="1"/>
  <c r="J23" i="17"/>
  <c r="O22" i="38"/>
  <c r="P22" i="38" s="1"/>
  <c r="L60" i="38"/>
  <c r="P22" i="19"/>
  <c r="P66" i="19"/>
  <c r="O38" i="17"/>
  <c r="M61" i="17"/>
  <c r="H10" i="17"/>
  <c r="D14" i="17"/>
  <c r="P35" i="17"/>
  <c r="F10" i="17"/>
  <c r="J14" i="17"/>
  <c r="I23" i="17"/>
  <c r="D10" i="17"/>
  <c r="H14" i="17"/>
  <c r="J10" i="17"/>
  <c r="F14" i="17"/>
  <c r="L14" i="17"/>
  <c r="O14" i="17" s="1"/>
  <c r="C23" i="17"/>
  <c r="K15" i="17"/>
  <c r="P15" i="17" s="1"/>
  <c r="K19" i="17"/>
  <c r="P19" i="17" s="1"/>
  <c r="K26" i="17"/>
  <c r="P26" i="17" s="1"/>
  <c r="K43" i="17"/>
  <c r="P43" i="17" s="1"/>
  <c r="P58" i="17" s="1"/>
  <c r="O10" i="17"/>
  <c r="K12" i="17"/>
  <c r="P12" i="17" s="1"/>
  <c r="K30" i="17"/>
  <c r="P30" i="17" s="1"/>
  <c r="N61" i="17"/>
  <c r="K17" i="17"/>
  <c r="P17" i="17" s="1"/>
  <c r="K28" i="17"/>
  <c r="P28" i="17" s="1"/>
  <c r="K41" i="17"/>
  <c r="K11" i="17"/>
  <c r="P11" i="17" s="1"/>
  <c r="K18" i="17"/>
  <c r="P18" i="17" s="1"/>
  <c r="K24" i="17"/>
  <c r="P24" i="17" s="1"/>
  <c r="K29" i="17"/>
  <c r="P29" i="17" s="1"/>
  <c r="P56" i="17" s="1"/>
  <c r="K42" i="17"/>
  <c r="P42" i="17" s="1"/>
  <c r="P59" i="17" s="1"/>
  <c r="K13" i="17"/>
  <c r="P13" i="17" s="1"/>
  <c r="K16" i="17"/>
  <c r="P16" i="17" s="1"/>
  <c r="K27" i="17"/>
  <c r="P27" i="17" s="1"/>
  <c r="K34" i="17"/>
  <c r="P34" i="17" s="1"/>
  <c r="K44" i="17"/>
  <c r="O44" i="17"/>
  <c r="P41" i="17"/>
  <c r="P22" i="17"/>
  <c r="K25" i="17"/>
  <c r="K20" i="17"/>
  <c r="P44" i="20" l="1"/>
  <c r="K46" i="38"/>
  <c r="P46" i="38" s="1"/>
  <c r="K47" i="17"/>
  <c r="P47" i="17" s="1"/>
  <c r="O60" i="38"/>
  <c r="P60" i="38" s="1"/>
  <c r="P38" i="17"/>
  <c r="J61" i="17"/>
  <c r="I61" i="17" s="1"/>
  <c r="K10" i="17"/>
  <c r="O23" i="17"/>
  <c r="O61" i="17" s="1"/>
  <c r="K14" i="17"/>
  <c r="K23" i="17"/>
  <c r="D61" i="17"/>
  <c r="C61" i="17" s="1"/>
  <c r="P10" i="17"/>
  <c r="P44" i="17"/>
  <c r="F61" i="17"/>
  <c r="E61" i="17" s="1"/>
  <c r="H61" i="17"/>
  <c r="G61" i="17" s="1"/>
  <c r="L61" i="17"/>
  <c r="P25" i="17"/>
  <c r="P57" i="17" s="1"/>
  <c r="P55" i="17" s="1"/>
  <c r="P60" i="17" s="1"/>
  <c r="P20" i="17"/>
  <c r="P14" i="17" s="1"/>
  <c r="P50" i="17" s="1"/>
  <c r="J64" i="17" l="1"/>
  <c r="K61" i="17"/>
  <c r="P61" i="17" s="1"/>
  <c r="P53" i="17"/>
  <c r="P23" i="17"/>
  <c r="F64" i="17"/>
  <c r="K64" i="17" s="1"/>
</calcChain>
</file>

<file path=xl/comments1.xml><?xml version="1.0" encoding="utf-8"?>
<comments xmlns="http://schemas.openxmlformats.org/spreadsheetml/2006/main">
  <authors>
    <author>Buhgalter</author>
    <author>Yuriy</author>
    <author>vika</author>
    <author>Юрий</author>
    <author>111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для дворника 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посыпка дорожек против гололеда -1560 (упр.ЖФ (свечи+86)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песок-7000 (город Чистоты)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2790 (январь-март)-"Рублевка" свечки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техничек -9593 (свечи)
материалы ч/з техничек -5185 (д.86)
коврик резиновый 3921 (д.86)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Buhgalter:по дог. С ИП Харламова (ноябрь 2015) свечки
Замена разб.стекла 2500 86
Изгот.ключей 1850 86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Замена замков на выходе на кровлю 86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светильники в подъезды свечек</t>
        </r>
      </text>
    </comment>
    <comment ref="L18" authorId="2" shapeId="0">
      <text>
        <r>
          <rPr>
            <sz val="7"/>
            <color indexed="81"/>
            <rFont val="Tahoma"/>
            <family val="2"/>
            <charset val="204"/>
          </rPr>
          <t xml:space="preserve">Промывка теплообменников-80500 свечки
5592,8 - замена манометров свечки
13208,2 - поверка манометров свечки
</t>
        </r>
      </text>
    </comment>
    <comment ref="L19" authorId="2" shapeId="0">
      <text>
        <r>
          <rPr>
            <sz val="7"/>
            <color theme="1"/>
            <rFont val="Calibri"/>
            <family val="2"/>
            <charset val="204"/>
            <scheme val="minor"/>
          </rPr>
          <t>18078-водоканалу за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 </t>
        </r>
        <r>
          <rPr>
            <sz val="7"/>
            <color theme="1"/>
            <rFont val="Calibri"/>
            <family val="2"/>
            <charset val="204"/>
            <scheme val="minor"/>
          </rPr>
          <t xml:space="preserve">услуги отключения т подключения 
8960-ремонт насоса (из 27761 по сч.26) по №90.
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Статья запланирована на оплату аварийного сантехника (до апреля 2015 г.). Перерасход планировали через доп.доходы</t>
        </r>
      </text>
    </comment>
    <comment ref="L20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По договору подряда январь, февраль, март. С налогами.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 xml:space="preserve">обслуж. Автом.ворот-18000 по дог Спектр СБ
</t>
        </r>
      </text>
    </comment>
    <comment ref="L24" authorId="2" shapeId="0">
      <text>
        <r>
          <rPr>
            <sz val="9"/>
            <color indexed="81"/>
            <rFont val="Tahoma"/>
            <family val="2"/>
            <charset val="204"/>
          </rPr>
          <t>з/п +взносы - 4527923,75
артель Энерго-85000
аутсорсинг-81000 (бух)
услуги "Диспетчер-24" -51819,00
услуги юриста -27456,00
157866руб-уборка и мытье МОП по дог."Город Чистоты"
51306 - уборка двора по дог. "Город читоты"</t>
        </r>
      </text>
    </comment>
    <comment ref="P24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Превышение связано:
- с доплатой кассиру и бухгалтеру, поскольку запланированной на аутсорсинг суммы не хватило.
- с введением круглосуточной диспетчеризации.
- остались 2 мастера до решения собственников по смете.
Оплата плотника проводилась за счет экономии по электрику.
Компенсация перерасхода за счет фонда развития УК.
</t>
        </r>
      </text>
    </comment>
    <comment ref="L25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Договор с ЗСКБ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Вишняков и Биллинг-Онлайн
Оплата по актам вып.работ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З</t>
        </r>
        <r>
          <rPr>
            <sz val="8"/>
            <color indexed="81"/>
            <rFont val="Tahoma"/>
            <family val="2"/>
            <charset val="204"/>
          </rPr>
          <t>аправка катриджей и НР-5150р
ТО, лента для ККМ - 6030
Оплата по АО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ООО "Призма" 
8600 для кассового аппарата, в том числе:
8500-электронно-цифровая память 
100-марка-пломба
Оплата по счету.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Кириллов -обслуживание 1С и удаленного сервера.
Ранее работы выполнялись бесплатно в счет будущего договора. Но в условиях кризиса потребовалось заключение договора с оплатой
Оплата по актам вып.работ</t>
        </r>
      </text>
    </comment>
    <comment ref="L29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ИП Понятовская
Запланировано исходя из 36000 руб./мес.
По договору 18000 руб./мес.
Оплата по актам вып.работ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канцтовары по авансовым отчетам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писчая бумага,папки,скоросшиватели,ручки,карандаши, калькуляторы (все что приобретено по безналу ч/з ООО Комус-Южный Урал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услуги почты-2937,50
услуги связи-2552,04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налог УСН за 2014г (оплата в 2015г).
В смете на 2015 г. не был запланирован исходя из замораживания тарифа.</t>
        </r>
      </text>
    </comment>
    <comment ref="L33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Несанкционированное списание средств с рс УК в ЗСКБ. Заведено уголовное дело в отношении злоумышленников</t>
        </r>
      </text>
    </comment>
    <comment ref="P34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Минус компенсация за перерасход ФОТ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430-госпошлины по иск.заяв.
12885 -госпошлина по искам в суд
30000-госпошлина за лицензию</t>
        </r>
      </text>
    </comment>
    <comment ref="N36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В туалете вышел из строя насос унитаза</t>
        </r>
      </text>
    </comment>
    <comment ref="N37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Покупка ноутбука для кассира.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2250-нанесение логотипов для сантехников</t>
        </r>
      </text>
    </comment>
    <comment ref="M38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6088+7751+18827 - спец.одежда для дворников и техничек, электриков</t>
        </r>
      </text>
    </comment>
    <comment ref="M39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Инструмент для сантехников, электриков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Возмещение имущественного ущерба Сюиткиной - 84804
Возмещение ущерба при затоплении квартиры    - 4000
Еженедельная чистка коврика в помещении УК - 2090</t>
        </r>
      </text>
    </comment>
    <comment ref="N40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Устройство профиля на крыльце УК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 дог. С ООО Транс Сервис
Оплата по актам вып.работ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>по дог ТСЖ-Сервис и ИП Журавский
72820+73488+4710=151018
Оплата по актам вып.работ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из сч.26 за ТО
13325 - страхование ГО
Оплата по актам вып.работ</t>
        </r>
      </text>
    </comment>
  </commentList>
</comments>
</file>

<file path=xl/comments2.xml><?xml version="1.0" encoding="utf-8"?>
<comments xmlns="http://schemas.openxmlformats.org/spreadsheetml/2006/main">
  <authors>
    <author>Buhgalter</author>
    <author>Yuriy</author>
    <author>vika</author>
    <author>Юрий</author>
    <author>111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для дворника 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посыпка дорожек против гололеда -1560 (упр.ЖФ (свечи+86)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песок-7000 (город Чистоты)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2790 (январь-март)-"Рублевка" свечки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техничек -9593 (свечи)
материалы ч/з техничек -5185 (д.86)
коврик резиновый 3921 (д.86)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Buhgalter:по дог. С ИП Харламова (ноябрь 2015) свечки
Замена разб.стекла 2500 86
Изгот.ключей 1850 86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Замена замков на выходе на кровлю 86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светильники в подъезды свечек</t>
        </r>
      </text>
    </comment>
    <comment ref="L17" authorId="2" shapeId="0">
      <text>
        <r>
          <rPr>
            <sz val="7"/>
            <color indexed="81"/>
            <rFont val="Tahoma"/>
            <family val="2"/>
            <charset val="204"/>
          </rPr>
          <t xml:space="preserve">Промывка теплообменников-80500 свечки
5592,8 - замена манометров свечки
13208,2 - поверка манометров свечки
</t>
        </r>
      </text>
    </comment>
    <comment ref="L18" authorId="2" shapeId="0">
      <text>
        <r>
          <rPr>
            <sz val="7"/>
            <color theme="1"/>
            <rFont val="Calibri"/>
            <family val="2"/>
            <charset val="204"/>
            <scheme val="minor"/>
          </rPr>
          <t>18078-водоканалу за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 </t>
        </r>
        <r>
          <rPr>
            <sz val="7"/>
            <color theme="1"/>
            <rFont val="Calibri"/>
            <family val="2"/>
            <charset val="204"/>
            <scheme val="minor"/>
          </rPr>
          <t xml:space="preserve">услуги отключения т подключения 
8960-ремонт насоса (из 27761 по сч.26) по №90.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Статья запланирована на оплату аварийного сантехника (до апреля 2015 г.). Перерасход планировали через доп.доходы</t>
        </r>
      </text>
    </comment>
    <comment ref="L19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По договору подряда январь, февраль, март. С налогами.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 xml:space="preserve">обслуж. Автом.ворот-18000 по дог Спектр СБ
</t>
        </r>
      </text>
    </comment>
    <comment ref="L23" authorId="2" shapeId="0">
      <text>
        <r>
          <rPr>
            <sz val="9"/>
            <color indexed="81"/>
            <rFont val="Tahoma"/>
            <family val="2"/>
            <charset val="204"/>
          </rPr>
          <t>з/п +взносы - 4527923,75
артель Энерго-85000
аутсорсинг-81000 (бух)
услуги "Диспетчер-24" -51819,00
услуги юриста -27456,00
157866руб-уборка и мытье МОП по дог."Город Чистоты"
51306 - уборка двора по дог. "Город читоты"</t>
        </r>
      </text>
    </comment>
    <comment ref="P23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Превышение связано:
- с доплатой кассиру и бухгалтеру, поскольку запланированной на аутсорсинг суммы не хватило.
- с введением круглосуточной диспетчеризации.
- остались 2 мастера до решения собственников по смете.
Оплата плотника проводилась за счет экономии по электрику.
Компенсация перерасхода за счет фонда развития УК.
</t>
        </r>
      </text>
    </comment>
    <comment ref="L24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Договор с ЗСКБ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Вишняков и Биллинг-Онлайн
Оплата по актам вып.работ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З</t>
        </r>
        <r>
          <rPr>
            <sz val="8"/>
            <color indexed="81"/>
            <rFont val="Tahoma"/>
            <family val="2"/>
            <charset val="204"/>
          </rPr>
          <t>аправка катриджей и НР-5150р
ТО, лента для ККМ - 6030
Оплата по АО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ООО "Призма" 
8600 для кассового аппарата, в том числе:
8500-электронно-цифровая память 
100-марка-пломба
Оплата по счету.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Кириллов -обслуживание 1С и удаленного сервера.
Ранее работы выполнялись бесплатно в счет будущего договора. Но в условиях кризиса потребовалось заключение договора с оплатой
Оплата по актам вып.работ</t>
        </r>
      </text>
    </comment>
    <comment ref="L28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ИП Понятовская
Запланировано исходя из 36000 руб./мес.
По договору 18000 руб./мес.
Оплата по актам вып.работ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канцтовары по авансовым отчетам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писчая бумага,папки,скоросшиватели,ручки,карандаши, калькуляторы (все что приобретено по безналу ч/з ООО Комус-Южный Урал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услуги почты-2937,50
услуги связи-2552,04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налог УСН за 2014г (оплата в 2015г).
В смете на 2015 г. не был запланирован исходя из замораживания тарифа.</t>
        </r>
      </text>
    </comment>
    <comment ref="L32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Несанкционированное списание средств с рс УК в ЗСКБ. Заведено уголовное дело в отношении злоумышленников</t>
        </r>
      </text>
    </comment>
    <comment ref="P33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Минус компенсация за перерасход ФОТ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430-госпошлины по иск.заяв.
12885 -госпошлина по искам в суд
30000-госпошлина за лицензию</t>
        </r>
      </text>
    </comment>
    <comment ref="N35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В туалете вышел из строя насос унитаза</t>
        </r>
      </text>
    </comment>
    <comment ref="N36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Покупка ноутбука для кассира.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2250-нанесение логотипов для сантехников</t>
        </r>
      </text>
    </comment>
    <comment ref="M37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6088+7751+18827 - спец.одежда для дворников и техничек, электриков</t>
        </r>
      </text>
    </comment>
    <comment ref="M38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Инструмент для сантехников, электриков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Возмещение имущественного ущерба Сюиткиной - 84804
Возмещение ущерба при затоплении квартиры    - 4000
Еженедельная чистка коврика в помещении УК - 2090</t>
        </r>
      </text>
    </comment>
    <comment ref="N39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Устройство профиля на крыльце УК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 дог. С ООО Транс Сервис
Оплата по актам вып.работ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>по дог ТСЖ-Сервис и ИП Журавский
72820+73488+4710=151018
Оплата по актам вып.работ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из сч.26 за ТО
13325 - страхование ГО
Оплата по актам вып.работ</t>
        </r>
      </text>
    </comment>
  </commentList>
</comments>
</file>

<file path=xl/comments3.xml><?xml version="1.0" encoding="utf-8"?>
<comments xmlns="http://schemas.openxmlformats.org/spreadsheetml/2006/main">
  <authors>
    <author>Buhgalter</author>
    <author>vika</author>
    <author>Yuriy</author>
    <author>Юрий</author>
    <author>111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дворника -5228 (свечки)
матриалы ч/з дворника- 2069(д.86)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посыпка дорожек против гололеда -1560 (упр.ЖФ (свечи+86)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песок-7000 (город Чистоты)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с 26 счета-5250 (январь) "ДворСервис"
уборка по договорам ИП Алтбаев, Молот, Двор-сервис -24150руб. (из 75456 сч.26)
148960руб. (ноябрь -декабрь 2015) по дог.с РСК
5500 р. (декабрь доп.) -Город Чистоты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2790 (январь-март)-"Рублевка"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техничек 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Buhgalter:по дог. С ИП Харламова (ноябрь 2015)
</t>
        </r>
      </text>
    </comment>
    <comment ref="L17" authorId="1" shapeId="0">
      <text>
        <r>
          <rPr>
            <sz val="7"/>
            <color indexed="81"/>
            <rFont val="Tahoma"/>
            <family val="2"/>
            <charset val="204"/>
          </rPr>
          <t xml:space="preserve">Промывка теплообменников-80500 свечки
5592,8 - замена манометров свечки
13208,2 - поверка манометров свечки
</t>
        </r>
      </text>
    </comment>
    <comment ref="L18" authorId="1" shapeId="0">
      <text>
        <r>
          <rPr>
            <sz val="7"/>
            <color theme="1"/>
            <rFont val="Calibri"/>
            <family val="2"/>
            <charset val="204"/>
            <scheme val="minor"/>
          </rPr>
          <t>18078-водоканалу за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 </t>
        </r>
        <r>
          <rPr>
            <sz val="7"/>
            <color theme="1"/>
            <rFont val="Calibri"/>
            <family val="2"/>
            <charset val="204"/>
            <scheme val="minor"/>
          </rPr>
          <t xml:space="preserve">услуги отключения т подключения 
8960-ремонт насоса (из 27761 по сч.26) по №90.
</t>
        </r>
      </text>
    </comment>
    <comment ref="N18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ОПУ по хвс для №90</t>
        </r>
      </text>
    </comment>
    <comment ref="L19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Оплата аварийному сантехнику. Сверх сметы за счет доп.доходов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 xml:space="preserve">обслуж. Автом.ворот-18000 по дог Спектр СБ
</t>
        </r>
      </text>
    </comment>
    <comment ref="L24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Договор с ЗСКБ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Вишняков и Биллинг-Онлайн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заправка катриджей и НР-5150р
ТО, лента для ККМ - 6030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8600 для кассового аппарата, в том числе:
8500-электронно-цифровая память 
100-марка-пломба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Кириллов -обслуживание 1С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канцтовары по авансовым отчетам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писчая бумага,папки,скоросшиватели,ручки,карандаши, калькуляторы (все что приобретено по безналу ч/з ООО Комус-Южный Урал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услуги почты-2937,50
услуги связи-2552,04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налог УСН за 2014г (уплачен в 2015г</t>
        </r>
      </text>
    </comment>
    <comment ref="L32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Несанкционированное списание средств с рс УК.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430-госпошлины по иск.заяв.
12885 -госпошлина по искам в суд
30000-госпошлина за лицензию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2250-нанесение логотипов для сантехников</t>
        </r>
      </text>
    </comment>
    <comment ref="M37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6088+7751+18827 - спец.одежда для дворников и техничек</t>
        </r>
      </text>
    </comment>
    <comment ref="M39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Хоз.товары, эл.товары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Возмещение имущественного ущерба Сюиткиной - 84804
Возмещение ущерба прризатоплении квартиры    - 4000
Еженельная чистка коврика в помещении УК - 2090</t>
        </r>
      </text>
    </comment>
    <comment ref="N40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Устройство профиля на крыльце УК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 дог. С ТрансСервис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>по дог ТСЖ-Сервис и ИП Журавский
72820+73488+4710=151018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из сч.26 за ТО
13325 - страхование ГО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40032 по сч.26 ремонт в подъезде №88
3500 - Ремонт отлива (альпинисты) №92</t>
        </r>
      </text>
    </comment>
    <comment ref="L49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Превышение сметы</t>
        </r>
      </text>
    </comment>
  </commentList>
</comments>
</file>

<file path=xl/comments4.xml><?xml version="1.0" encoding="utf-8"?>
<comments xmlns="http://schemas.openxmlformats.org/spreadsheetml/2006/main">
  <authors>
    <author>Buhgalter</author>
    <author>vika</author>
    <author>Yuriy</author>
    <author>Юрий</author>
    <author>111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дворника -5228 (свечки)
матриалы ч/з дворника- 2069(д.86)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посыпка дорожек против гололеда -1560 (упр.ЖФ (свечи+86)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песок-7000 (город Чистоты)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с 26 счета-5250 (январь) "ДворСервис"
уборка по договорам ИП Алтбаев, Молот, Двор-сервис -24150руб. (из 75456 сч.26)
148960руб. (ноябрь -декабрь 2015) по дог.с РСК
5500 р. (декабрь доп.) -Город Чистоты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2790 (январь-март)-"Рублевка"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техничек 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Buhgalter:по дог. С ИП Харламова (ноябрь 2015)
</t>
        </r>
      </text>
    </comment>
    <comment ref="L17" authorId="1" shapeId="0">
      <text>
        <r>
          <rPr>
            <sz val="7"/>
            <color indexed="81"/>
            <rFont val="Tahoma"/>
            <family val="2"/>
            <charset val="204"/>
          </rPr>
          <t xml:space="preserve">Промывка теплообменников-80500 свечки
5592,8 - замена манометров свечки
13208,2 - поверка манометров свечки
</t>
        </r>
      </text>
    </comment>
    <comment ref="L18" authorId="1" shapeId="0">
      <text>
        <r>
          <rPr>
            <sz val="7"/>
            <color theme="1"/>
            <rFont val="Calibri"/>
            <family val="2"/>
            <charset val="204"/>
            <scheme val="minor"/>
          </rPr>
          <t>18078-водоканалу за</t>
        </r>
        <r>
          <rPr>
            <sz val="11"/>
            <color theme="1"/>
            <rFont val="Calibri"/>
            <family val="2"/>
            <charset val="204"/>
            <scheme val="minor"/>
          </rPr>
          <t xml:space="preserve"> </t>
        </r>
        <r>
          <rPr>
            <sz val="7"/>
            <color theme="1"/>
            <rFont val="Calibri"/>
            <family val="2"/>
            <charset val="204"/>
            <scheme val="minor"/>
          </rPr>
          <t xml:space="preserve">услуги отключения т подключения 
8960-ремонт насоса (из 27761 по сч.26) по №90.
</t>
        </r>
      </text>
    </comment>
    <comment ref="N18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ОПУ по хвс для №90</t>
        </r>
      </text>
    </comment>
    <comment ref="L19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Оплата аварийному сантехнику. Сверх сметы за счет доп.доходов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 xml:space="preserve">обслуж. Автом.ворот-18000 по дог Спектр СБ
</t>
        </r>
      </text>
    </comment>
    <comment ref="L24" authorId="3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Договор с ЗСКБ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Вишняков и Биллинг-Онлайн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заправка катриджей и НР-5150р
ТО, лента для ККМ - 6030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8600 для кассового аппарата, в том числе:
8500-электронно-цифровая память 
100-марка-пломба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Кириллов -обслуживание 1С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канцтовары по авансовым отчетам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писчая бумага,папки,скоросшиватели,ручки,карандаши, калькуляторы (все что приобретено по безналу ч/з ООО Комус-Южный Урал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услуги почты-2937,50
услуги связи-2552,04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налог УСН за 2014г (уплачен в 2015г</t>
        </r>
      </text>
    </comment>
    <comment ref="L32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Несанкционированное списание средств с рс УК.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430-госпошлины по иск.заяв.
12885 -госпошлина по искам в суд
30000-госпошлина за лицензию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2250-нанесение логотипов для сантехников</t>
        </r>
      </text>
    </comment>
    <comment ref="M37" authorId="4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6088+7751+18827 - спец.одежда для дворников и техничек</t>
        </r>
      </text>
    </comment>
    <comment ref="M39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Хоз.товары, эл.товары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Возмещение имущественного ущерба Сюиткиной - 84804
Возмещение ущерба прризатоплении квартиры    - 4000
Еженельная чистка коврика в помещении УК - 2090</t>
        </r>
      </text>
    </comment>
    <comment ref="N40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Устройство профиля на крыльце УК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 дог. С ТрансСервис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>по дог ТСЖ-Сервис и ИП Журавский
72820+73488+4710=151018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из сч.26 за ТО
13325 - страхование ГО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40032 по сч.26 ремонт в подъезде №88
3500 - Ремонт отлива (альпинисты) №92</t>
        </r>
      </text>
    </comment>
    <comment ref="L49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Превышение сметы</t>
        </r>
      </text>
    </comment>
  </commentList>
</comments>
</file>

<file path=xl/comments5.xml><?xml version="1.0" encoding="utf-8"?>
<comments xmlns="http://schemas.openxmlformats.org/spreadsheetml/2006/main">
  <authors>
    <author>Yuriy</author>
  </authors>
  <commentLis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Оплата по безналу.</t>
        </r>
      </text>
    </comment>
  </commentList>
</comments>
</file>

<file path=xl/comments6.xml><?xml version="1.0" encoding="utf-8"?>
<comments xmlns="http://schemas.openxmlformats.org/spreadsheetml/2006/main">
  <authors>
    <author>Buhgalter</author>
    <author>Yuriy</author>
    <author>vika</author>
    <author>111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матриалы ч/з дворника- 2069(д.86)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Посыпка дорожек против гололеда солевым порошком -1560 руб. на весь жилой фонд.
Оплата по РО.</t>
        </r>
      </text>
    </comment>
    <comment ref="N11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Затраты на песок для детской площадки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техничек -8219 (д.86)
коврик резиновый -3921 дома (д.86)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Замена замков на выходе на кровлю 86+дубликаты ключей</t>
        </r>
      </text>
    </comment>
    <comment ref="L23" authorId="2" shapeId="0">
      <text>
        <r>
          <rPr>
            <sz val="9"/>
            <color indexed="81"/>
            <rFont val="Tahoma"/>
            <family val="2"/>
            <charset val="204"/>
          </rPr>
          <t xml:space="preserve">з/п +взносы -4590489,75
артель Энерго-85000
аутсорсинг бухгалтер - 81000
услуги "Диспетчер-24" -51819,00
услуги юриста -27456,00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Вишняков и Биллинг-Онлайн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заправка катриджей и НР-5150р
ТО, лента для ККМ - 6030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8600 для кассового аппарата, в том числе:
8500-электронно-цифровая память 
100-марка-пломба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Кириллов -обслуживание 1С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канцтовары по авансовым отчетам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писчая бумага,папки,скоросшиватели,ручки,карандаши, калькуляторы (все что приобретено по безналу ч/з ООО Комус-Южный Урал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услуги почты-2937,50
услуги связи-2552,04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налог УСН за 2014г (уплачен в 2015г</t>
        </r>
      </text>
    </comment>
    <comment ref="L32" authorId="3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Несанкционированное списание средств с рс УК.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430-госпошлины по иск.заяв.
12885 -госпошлина по искам в суд
30000-госпошлина за лицензию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2250-нанесение логотипов для сантехников</t>
        </r>
      </text>
    </comment>
    <comment ref="M37" authorId="3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6088+7751+18827 - спец.одежда для дворников и техничек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Возмещение имущественного ущерба Сюиткиной - 84804
Возмещение ущерба прризатоплении квартиры    - 4000
Еженедельная чистка коврика в помещении УК</t>
        </r>
      </text>
    </comment>
    <comment ref="N39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Устройство профиля на крыльце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 дог. С ТрансСервис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>по дог ТСЖ-Сервис и ИП Журавский
72820+73488+4710=151018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из сч.26 за ТО
13325 - страхование ГО</t>
        </r>
      </text>
    </comment>
  </commentList>
</comments>
</file>

<file path=xl/comments7.xml><?xml version="1.0" encoding="utf-8"?>
<comments xmlns="http://schemas.openxmlformats.org/spreadsheetml/2006/main">
  <authors>
    <author>Buhgalter</author>
    <author>Yuriy</author>
    <author>vika</author>
    <author>111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матриалы ч/з дворника- 2069(д.86)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посыпка дорожек против гололеда -1560 (упр.ЖФ (свечи)</t>
        </r>
      </text>
    </comment>
    <comment ref="N11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Затраты на песок для детской площадки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По актам выполненных работ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материалы ч/з техничек -5185 (д.86)
коврик резиновый -3921 дома (д.86)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Buhgalter:по дог. С ИП 
Замена разб.стекла 2500
Изгот.ключей 1850
Установка навесных замков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Замена замков на выходе на кровлю 86+дубликаты ключей</t>
        </r>
      </text>
    </comment>
    <comment ref="L23" authorId="2" shapeId="0">
      <text>
        <r>
          <rPr>
            <sz val="9"/>
            <color indexed="81"/>
            <rFont val="Tahoma"/>
            <family val="2"/>
            <charset val="204"/>
          </rPr>
          <t xml:space="preserve">з/п +взносы -4590489,75
артель Энерго-85000
аутсорсинг бухгалтер - 81000
услуги "Диспетчер-24" -51819,00
услуги юриста -27456,00
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Вишняков и Биллинг-Онлайн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заправка катриджей и НР-5150р
ТО, лента для ККМ - 6030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8600 для кассового аппарата, в том числе:
8500-электронно-цифровая память 
100-марка-пломба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ИП Кириллов -обслуживание 1С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канцтовары по авансовым отчетам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писчая бумага,папки,скоросшиватели,ручки,карандаши, калькуляторы (все что приобретено по безналу ч/з ООО Комус-Южный Урал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услуги почты-2937,50
услуги связи-2552,04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налог УСН за 2014г (уплачен в 2015г</t>
        </r>
      </text>
    </comment>
    <comment ref="L32" authorId="3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Несанкционированное списание средств с рс УК.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430-госпошлины по иск.заяв.
12885 -госпошлина по искам в суд
30000-госпошлина за лицензию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2250-нанесение логотипов для сантехников</t>
        </r>
      </text>
    </comment>
    <comment ref="M37" authorId="3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6088+7751+18827 - спец.одежда для дворников и техничек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Возмещение имущественного ущерба Сюиткиной - 84804
Возмещение ущерба прризатоплении квартиры    - 4000
Еженедельная чистка коврика в помещении УК</t>
        </r>
      </text>
    </comment>
    <comment ref="N39" authorId="1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Устройство профиля на крыльце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по дог. С ТрансСервис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7"/>
            <color indexed="81"/>
            <rFont val="Tahoma"/>
            <family val="2"/>
            <charset val="204"/>
          </rPr>
          <t>по дог ТСЖ-Сервис и ИП Журавский
72820+73488+4710=151018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  <charset val="204"/>
          </rPr>
          <t>Buhgalter:</t>
        </r>
        <r>
          <rPr>
            <sz val="9"/>
            <color indexed="81"/>
            <rFont val="Tahoma"/>
            <family val="2"/>
            <charset val="204"/>
          </rPr>
          <t xml:space="preserve">
из сч.26 за ТО
13325 - страхование ГО</t>
        </r>
      </text>
    </comment>
  </commentList>
</comments>
</file>

<file path=xl/sharedStrings.xml><?xml version="1.0" encoding="utf-8"?>
<sst xmlns="http://schemas.openxmlformats.org/spreadsheetml/2006/main" count="2806" uniqueCount="790">
  <si>
    <t>Содержание придомовой территории</t>
  </si>
  <si>
    <t>Содержание общего имущества</t>
  </si>
  <si>
    <t>Управление жилым фондом</t>
  </si>
  <si>
    <t>Накопительный фонд</t>
  </si>
  <si>
    <t>Вывоз мусора</t>
  </si>
  <si>
    <t>Домофон</t>
  </si>
  <si>
    <t>Содержание лифта</t>
  </si>
  <si>
    <t>Наименование услуг</t>
  </si>
  <si>
    <t>Расходы за год, руб.</t>
  </si>
  <si>
    <t>Дом 88</t>
  </si>
  <si>
    <t>Дом 90</t>
  </si>
  <si>
    <t>Дом 92</t>
  </si>
  <si>
    <t>№ п/п</t>
  </si>
  <si>
    <t>1</t>
  </si>
  <si>
    <t>2</t>
  </si>
  <si>
    <t>3</t>
  </si>
  <si>
    <t>4</t>
  </si>
  <si>
    <t>5</t>
  </si>
  <si>
    <t>6</t>
  </si>
  <si>
    <t>1.2</t>
  </si>
  <si>
    <t>Уборка снега</t>
  </si>
  <si>
    <t>3.1</t>
  </si>
  <si>
    <t>3.2</t>
  </si>
  <si>
    <t>3.3</t>
  </si>
  <si>
    <t>ТО электрохозяйства</t>
  </si>
  <si>
    <t>ТО теплохозяйства</t>
  </si>
  <si>
    <t>ТО водоснабжения и канализации</t>
  </si>
  <si>
    <t>Аварийное обслуживание сетей</t>
  </si>
  <si>
    <t>Банковское обслуживание</t>
  </si>
  <si>
    <t>Биллинг</t>
  </si>
  <si>
    <t>Оргтехника</t>
  </si>
  <si>
    <t>Услуги программиста</t>
  </si>
  <si>
    <t>Аренда офиса</t>
  </si>
  <si>
    <t>Канцтовары</t>
  </si>
  <si>
    <t>Уборка территории (материалы, спецодежда)</t>
  </si>
  <si>
    <t>Благоустройство (земля для рассады, торф, кустарники)</t>
  </si>
  <si>
    <t>Услуги связи</t>
  </si>
  <si>
    <t>Планируемые затраты УК "Финист"</t>
  </si>
  <si>
    <t>Фактические затраты УК "Финист"</t>
  </si>
  <si>
    <t>1.3</t>
  </si>
  <si>
    <t>3.4</t>
  </si>
  <si>
    <t>Наименование</t>
  </si>
  <si>
    <t>Уборка помещений</t>
  </si>
  <si>
    <t>Утепление помещений</t>
  </si>
  <si>
    <t>ФОТ</t>
  </si>
  <si>
    <t>1.1</t>
  </si>
  <si>
    <t>2.1</t>
  </si>
  <si>
    <t>2.2</t>
  </si>
  <si>
    <t>2.3</t>
  </si>
  <si>
    <t>2.4</t>
  </si>
  <si>
    <t>2.5</t>
  </si>
  <si>
    <t>2.6</t>
  </si>
  <si>
    <t>3.5</t>
  </si>
  <si>
    <t>3.6</t>
  </si>
  <si>
    <t>3.7</t>
  </si>
  <si>
    <t>3.8</t>
  </si>
  <si>
    <t>3.9</t>
  </si>
  <si>
    <t>7</t>
  </si>
  <si>
    <t>Дом 86</t>
  </si>
  <si>
    <t>3.10</t>
  </si>
  <si>
    <t>Гос.пошлина за получение лицензии УК</t>
  </si>
  <si>
    <t>ВСЕГО:</t>
  </si>
  <si>
    <t>д.88+д.90+д.92 =</t>
  </si>
  <si>
    <t>д.86</t>
  </si>
  <si>
    <t>год</t>
  </si>
  <si>
    <t>2.7</t>
  </si>
  <si>
    <t>Итого план д.88, д.90, д.92,д.86 руб.</t>
  </si>
  <si>
    <t>88,90,92</t>
  </si>
  <si>
    <r>
      <t>Тариф с м</t>
    </r>
    <r>
      <rPr>
        <b/>
        <vertAlign val="superscript"/>
        <sz val="9"/>
        <rFont val="Calibri"/>
        <family val="2"/>
        <charset val="204"/>
        <scheme val="minor"/>
      </rPr>
      <t xml:space="preserve">2  </t>
    </r>
    <r>
      <rPr>
        <b/>
        <sz val="9"/>
        <rFont val="Calibri"/>
        <family val="2"/>
        <charset val="204"/>
        <scheme val="minor"/>
      </rPr>
      <t>руб. в месяц</t>
    </r>
  </si>
  <si>
    <t>10-14</t>
  </si>
  <si>
    <t>Услуги юрид и физ. лиц за год, руб.</t>
  </si>
  <si>
    <t>Расходные материалы, руб. (нал.расчет)</t>
  </si>
  <si>
    <t>Расход ТМЦ  (безнал)</t>
  </si>
  <si>
    <t>Всего за 2015 год</t>
  </si>
  <si>
    <t>2.8</t>
  </si>
  <si>
    <t>ТО автоматических ворот</t>
  </si>
  <si>
    <t>Фонд развития УК</t>
  </si>
  <si>
    <t xml:space="preserve">Замена сололифта </t>
  </si>
  <si>
    <t xml:space="preserve"> </t>
  </si>
  <si>
    <t>Спец.одежда</t>
  </si>
  <si>
    <t>Текущий ремонт мест общего пользования</t>
  </si>
  <si>
    <t>Покупка ноутбука, 1 шт.</t>
  </si>
  <si>
    <t>Налог в связи с применением УСН</t>
  </si>
  <si>
    <t>Форс-мажор</t>
  </si>
  <si>
    <t>8</t>
  </si>
  <si>
    <t>Статьи перерасхода</t>
  </si>
  <si>
    <t>8.2.</t>
  </si>
  <si>
    <t>Итого</t>
  </si>
  <si>
    <t>9</t>
  </si>
  <si>
    <t>Статьи доп.дохода</t>
  </si>
  <si>
    <t>9.2.</t>
  </si>
  <si>
    <t>3.9.2</t>
  </si>
  <si>
    <t>3.9.3</t>
  </si>
  <si>
    <t>3.9.4</t>
  </si>
  <si>
    <t>3.9.5</t>
  </si>
  <si>
    <t>3.9.7</t>
  </si>
  <si>
    <t>№</t>
  </si>
  <si>
    <t>Сантел</t>
  </si>
  <si>
    <t>Адрес</t>
  </si>
  <si>
    <t>Доход, руб./мес.</t>
  </si>
  <si>
    <t>Доход, руб. 2015</t>
  </si>
  <si>
    <t>Тура-Телеком</t>
  </si>
  <si>
    <t>ПлазмаВижен</t>
  </si>
  <si>
    <t>Ростелеком</t>
  </si>
  <si>
    <t>Расход, руб. 2015</t>
  </si>
  <si>
    <t>Остаток, руб. 2015</t>
  </si>
  <si>
    <t>Гефест</t>
  </si>
  <si>
    <t>Техно</t>
  </si>
  <si>
    <t>Спика</t>
  </si>
  <si>
    <t>Эр-ТК тр-т</t>
  </si>
  <si>
    <t>Эр-ТК оборуд</t>
  </si>
  <si>
    <t>ТМК</t>
  </si>
  <si>
    <t>Доход от аренды ОИ</t>
  </si>
  <si>
    <t>8.3.</t>
  </si>
  <si>
    <t>8.4.</t>
  </si>
  <si>
    <t>Остаток</t>
  </si>
  <si>
    <t>Отчет смета 2015 г. УК Финист</t>
  </si>
  <si>
    <t>Дата</t>
  </si>
  <si>
    <t>Материалы</t>
  </si>
  <si>
    <t>Цена</t>
  </si>
  <si>
    <t>Кол-во</t>
  </si>
  <si>
    <t>Стоимость</t>
  </si>
  <si>
    <t xml:space="preserve"> Стоимость</t>
  </si>
  <si>
    <t>Итого стоимость</t>
  </si>
  <si>
    <t>6.04-8.09.2015</t>
  </si>
  <si>
    <t>Расходные материалы</t>
  </si>
  <si>
    <t>Назначение</t>
  </si>
  <si>
    <t>Обеспечение дворника инструментом, расходными материалами</t>
  </si>
  <si>
    <t>Соль</t>
  </si>
  <si>
    <t>Противоскользящая обработка двора весна-осень 2015 г.</t>
  </si>
  <si>
    <t>Механизированная уборка и вывоз снега с дворовой территории и парковки перед магазином</t>
  </si>
  <si>
    <t>Объем</t>
  </si>
  <si>
    <t xml:space="preserve">Чистка ковриков, размещенных в подъездах </t>
  </si>
  <si>
    <t>Подрядчик</t>
  </si>
  <si>
    <t>ООО РСК</t>
  </si>
  <si>
    <t>ООО "Рублевка"</t>
  </si>
  <si>
    <t>ООО "РСК"</t>
  </si>
  <si>
    <t>январь-апрель 2015</t>
  </si>
  <si>
    <t>Межсезонная промывка теплообменников системы теплоснабжения для подготовки к отопительному сезону.</t>
  </si>
  <si>
    <t>ЦСМ</t>
  </si>
  <si>
    <t>ИП Харламова Е.Н.</t>
  </si>
  <si>
    <t>Межсезонная поверка манометров для подготовки к отопительному сезону</t>
  </si>
  <si>
    <t xml:space="preserve">Проклейка уплотнений в проемах дверей, замена неисправных деталей замков, регулировка доводчиков </t>
  </si>
  <si>
    <t>Дом</t>
  </si>
  <si>
    <t>88, 90, 92</t>
  </si>
  <si>
    <t>весна 2015</t>
  </si>
  <si>
    <t>ООО "Дворсервис"</t>
  </si>
  <si>
    <t>.</t>
  </si>
  <si>
    <t xml:space="preserve">Механизированная уборка и вывоз снега с дворовой территории </t>
  </si>
  <si>
    <t>ООО "Город чистоты"</t>
  </si>
  <si>
    <t>январь-октябрь 2015</t>
  </si>
  <si>
    <t>88, 90, 92, 86</t>
  </si>
  <si>
    <t>ООО "Шоссон"</t>
  </si>
  <si>
    <t>Замена изношенного противоскользящего покрытия на крыльце дома</t>
  </si>
  <si>
    <t>Песок</t>
  </si>
  <si>
    <t>Дополнительная подсыпка песка на детские площадки</t>
  </si>
  <si>
    <t>Манометры</t>
  </si>
  <si>
    <t>Замена неисправных манометров</t>
  </si>
  <si>
    <t>ООО "Водоканал"</t>
  </si>
  <si>
    <t>Отключение водоснабжения для замены ОПУ</t>
  </si>
  <si>
    <t>ИП Мыльникова</t>
  </si>
  <si>
    <t>Ремонт дублирующего насоса контура ГВС</t>
  </si>
  <si>
    <t>июнь-декабрь 2015</t>
  </si>
  <si>
    <t>ООО "Спектр Б"</t>
  </si>
  <si>
    <t>Косметический ремонт 1-го этажа (лифтовой холл, лестница)</t>
  </si>
  <si>
    <t>Крепление отлива козырька, выполнение высотных работ</t>
  </si>
  <si>
    <t>ИП Фарушин</t>
  </si>
  <si>
    <t>ООО "Альпина"</t>
  </si>
  <si>
    <t>Обеспечение уборщицы расходными материалами</t>
  </si>
  <si>
    <t>Замена замков на тех.этаж</t>
  </si>
  <si>
    <t>Коврики резиновые</t>
  </si>
  <si>
    <t>Устройство ковриков перед подъездами</t>
  </si>
  <si>
    <t>январь-декабрь 2015</t>
  </si>
  <si>
    <t>Замена ламп, выключателей, патронов, АЗС и т.тд.</t>
  </si>
  <si>
    <t>Резиновые коврики</t>
  </si>
  <si>
    <t>Устройство ковриков в тамбуре</t>
  </si>
  <si>
    <t>Статья сметы</t>
  </si>
  <si>
    <t>Светильники</t>
  </si>
  <si>
    <t>Светильники со светод.лампами на замену неисправных</t>
  </si>
  <si>
    <t>3.9.6</t>
  </si>
  <si>
    <t>Инструмент</t>
  </si>
  <si>
    <t xml:space="preserve">Отклонение от плана </t>
  </si>
  <si>
    <t>УК</t>
  </si>
  <si>
    <t>Обеспечения слива из системы отопления в аварийных случаях</t>
  </si>
  <si>
    <t>ТО системы отопления</t>
  </si>
  <si>
    <t>Очистка системы отопления</t>
  </si>
  <si>
    <t>Очиститель</t>
  </si>
  <si>
    <t>Подготовительные работы к новому отопительному сезону</t>
  </si>
  <si>
    <t>Ремонт ОД счетчика ТЭ</t>
  </si>
  <si>
    <t>Вспомогательное оборудование для проведения аварийных и ремонтных работ УК (подготовка к новому отопительному сезону)</t>
  </si>
  <si>
    <t>Промывка теплообменника</t>
  </si>
  <si>
    <t>88, 90</t>
  </si>
  <si>
    <t>Очистка пластин теплообменника</t>
  </si>
  <si>
    <t>Ремонт теплообменника</t>
  </si>
  <si>
    <t>Сборка теплообменника</t>
  </si>
  <si>
    <t>Ремонт прибора учета тепла</t>
  </si>
  <si>
    <t xml:space="preserve">Замена БП </t>
  </si>
  <si>
    <t>Поготовка запуска системы отопления</t>
  </si>
  <si>
    <t>Арс-Витраж</t>
  </si>
  <si>
    <t>Замена стекла</t>
  </si>
  <si>
    <t>Статья</t>
  </si>
  <si>
    <t>июнь-декабрь</t>
  </si>
  <si>
    <t>Для выполнения ремонтных работ</t>
  </si>
  <si>
    <t>Проведение ремонтных работ в системе гвс</t>
  </si>
  <si>
    <t>Проведение замены ОПУ</t>
  </si>
  <si>
    <t>Аварийные работы на гвс</t>
  </si>
  <si>
    <t>Ремонтные работы</t>
  </si>
  <si>
    <t>Вывод воды для полива</t>
  </si>
  <si>
    <t>Аварийный ремонт на системе ГВС (у теплосчетчика)</t>
  </si>
  <si>
    <t>Аварийный ремонт стояка гвс в кв.20</t>
  </si>
  <si>
    <t>Замена неисправных деталей</t>
  </si>
  <si>
    <t>Замена участка гвс</t>
  </si>
  <si>
    <t>Замена вытяжных тру на кровле</t>
  </si>
  <si>
    <t>Аварийные работы, ремонт общедомового стояка системы ГВС в кв.11</t>
  </si>
  <si>
    <t>Аварийно-ремонтные работы по обвязке труб для сброса воды с системы ГВС</t>
  </si>
  <si>
    <t>Аварийно-ремонтные работы по замене обратного клапана в циркуляционном насосе системы ГВС</t>
  </si>
  <si>
    <t>Проведение воды в КУИ (комната уборочного инвентаря д.88, 2эт.)</t>
  </si>
  <si>
    <t>Аварийно-ремонтные работы по ремонту пож. Трубы и труб ГВС</t>
  </si>
  <si>
    <t>Замена неисправного общедомового ПУ</t>
  </si>
  <si>
    <t>Установка навесных замков на кровлю</t>
  </si>
  <si>
    <t>Итого план д.88, д.90, д.92,руб.</t>
  </si>
  <si>
    <t>Итого план д.86 руб.</t>
  </si>
  <si>
    <t>Престиж-интернет</t>
  </si>
  <si>
    <t>7.1.</t>
  </si>
  <si>
    <t>Устройство противоскользящего покрытия на крыльцо 88, 90, 92</t>
  </si>
  <si>
    <t>Расшифровка</t>
  </si>
  <si>
    <t>Работа</t>
  </si>
  <si>
    <t>Перчатки резиновые (для влажной уборки)</t>
  </si>
  <si>
    <t>Уборка</t>
  </si>
  <si>
    <t>Полотно не тканое (для мытья пола) 2*5м.=10м.</t>
  </si>
  <si>
    <t>.02.2015</t>
  </si>
  <si>
    <t>Пемолюкс, 5шт.</t>
  </si>
  <si>
    <t>.03.2015</t>
  </si>
  <si>
    <t>Отбел.Белизна 0,9л., 5шт.</t>
  </si>
  <si>
    <t>Жидкое мыло, 5л. - 1шт.</t>
  </si>
  <si>
    <t xml:space="preserve">Пакет для мусо - 5 рул. </t>
  </si>
  <si>
    <t>Перчатки резиновые (для влажной уборки) - 5пар.</t>
  </si>
  <si>
    <t>Черенокдля щеток метал. С резьбой</t>
  </si>
  <si>
    <t>Щетка подметальная Феррара</t>
  </si>
  <si>
    <t>Мешки д/мусора 60л(20шт)</t>
  </si>
  <si>
    <t>Мешки д/мусора 30л(30шт)</t>
  </si>
  <si>
    <t>Полотно не тканое ХПП ш.150-160см (210-220г/м2)</t>
  </si>
  <si>
    <t>Перчатки "Чистые руки" Пер 108</t>
  </si>
  <si>
    <t>Средство универсальное Прогресс 5л.</t>
  </si>
  <si>
    <t>Уборка подъездов</t>
  </si>
  <si>
    <t>86,88,90,92</t>
  </si>
  <si>
    <t>Перчатки резиновые синие повышенной прочности</t>
  </si>
  <si>
    <t>Полотно вафельное шир.40см белое</t>
  </si>
  <si>
    <t>Уборка лифтов</t>
  </si>
  <si>
    <t>Полотно нетканное ширина 140см</t>
  </si>
  <si>
    <t>Мешки для мусора 30л.</t>
  </si>
  <si>
    <t>Сбор мусора</t>
  </si>
  <si>
    <t>Окномойка с телескопической ручкой хозяюшка</t>
  </si>
  <si>
    <t>Мытье окон</t>
  </si>
  <si>
    <t>Пакет для мусора 50л (20шт.)</t>
  </si>
  <si>
    <t>Пакет для мусора 30л (25шт.)</t>
  </si>
  <si>
    <t>Перчатки резиновые с тальк. Напылением</t>
  </si>
  <si>
    <t>Полотно нетканое ХПП ш. 150-160см.(210-220 г/м2)</t>
  </si>
  <si>
    <t>Ткань вафельная  отбеленная (ширина 45-50см)</t>
  </si>
  <si>
    <t>КЩС Т-1 Перчатки "Стандарт" Пер615</t>
  </si>
  <si>
    <t>БИОЛАН Чистящ. Ср-во Горная свеж. 400гр.</t>
  </si>
  <si>
    <t>88,90,92,86</t>
  </si>
  <si>
    <t>Мастер блеск Губка д/мытья мосуды 10шт.</t>
  </si>
  <si>
    <t>Мытье дверей в под-х</t>
  </si>
  <si>
    <t>Мешкид/мусора 30л. 330шт.</t>
  </si>
  <si>
    <t>Средство Белизна 1л.</t>
  </si>
  <si>
    <t>Средство для стекол</t>
  </si>
  <si>
    <t>Средство для мытья пола 5л.</t>
  </si>
  <si>
    <t>Дубликаты ключей 92-3,4 эт.</t>
  </si>
  <si>
    <t>Для уборки квартирных холлов</t>
  </si>
  <si>
    <t>сумма</t>
  </si>
  <si>
    <t>7.1</t>
  </si>
  <si>
    <t>3.9.8</t>
  </si>
  <si>
    <t>Хоз.материалы для офиса</t>
  </si>
  <si>
    <t>Затраты в период с 01.03.2014 по 30.09.2014 (руб.)</t>
  </si>
  <si>
    <t>лампа люминисцентная 36/54-765</t>
  </si>
  <si>
    <t>ИТОГО</t>
  </si>
  <si>
    <t>на замену</t>
  </si>
  <si>
    <t>лампа люминисцентная 18/54-765</t>
  </si>
  <si>
    <t>лампа Б220-230-40w E27</t>
  </si>
  <si>
    <t>Стартер ST-111 "Osram" 4/80 С18_49</t>
  </si>
  <si>
    <t>Стартер ST-151 "Osram"</t>
  </si>
  <si>
    <t>Лампа ДРВ 250w E40 ML-ДРЛ прям вкл "PHILIPS"</t>
  </si>
  <si>
    <t>Кабель-канал</t>
  </si>
  <si>
    <t>Установка выключателя к светильнику у подъезда</t>
  </si>
  <si>
    <t>Выкл.автомат. С25А</t>
  </si>
  <si>
    <t>Выкл.накладной</t>
  </si>
  <si>
    <t>Кабель ВВГ 3х1,5</t>
  </si>
  <si>
    <t>Выкл.встроенный</t>
  </si>
  <si>
    <t>Замена неисправного</t>
  </si>
  <si>
    <t>Рамка к выключателю</t>
  </si>
  <si>
    <t>Удлиннитель 2м</t>
  </si>
  <si>
    <t>Для регистратора видеонаблюдения</t>
  </si>
  <si>
    <t>Замок навесной</t>
  </si>
  <si>
    <t>Замок к электрощитку</t>
  </si>
  <si>
    <t>Инструмент (пассатижи, отвертка)</t>
  </si>
  <si>
    <t>Пополнение запаса</t>
  </si>
  <si>
    <t>Электрон. Пуско-регулир. аппарат (ЭПРА) 1шт.</t>
  </si>
  <si>
    <t>260-00</t>
  </si>
  <si>
    <t>Светильник</t>
  </si>
  <si>
    <t>Выключатель</t>
  </si>
  <si>
    <t>Авт.вык. ВА 47-29 1р 25А С</t>
  </si>
  <si>
    <t xml:space="preserve">Авт.вык. ВА 47-29 3р 40А </t>
  </si>
  <si>
    <t>Лампа люминисцентная 18/54-765 G13 Philips</t>
  </si>
  <si>
    <t>92-5(4шт.), 88лест.</t>
  </si>
  <si>
    <t>Лампа Б225-235-60W E27 Б-60-27</t>
  </si>
  <si>
    <t xml:space="preserve">Лампа Б220-230-40W E27 </t>
  </si>
  <si>
    <t xml:space="preserve">Авт.вык. ВА 47-63-2р 32 С ЭКФ </t>
  </si>
  <si>
    <t>Авт. Выкл ВА47-63 3р 32А С ЭКФ</t>
  </si>
  <si>
    <t>Замена (выбивает свет в лифтовых холлах)</t>
  </si>
  <si>
    <t>88-ЭЩ</t>
  </si>
  <si>
    <t>Лампа Б 225-235-60w Е-60-27</t>
  </si>
  <si>
    <t>Изолента ПВХ 19/20 черная SafeLine 9366</t>
  </si>
  <si>
    <t>Патрон Е-27 подвесной для точечных светильников СP-800/FТ-002</t>
  </si>
  <si>
    <t>Зажим контактный винтовой-0/1,5-6мм2/12 групп</t>
  </si>
  <si>
    <t>Удлин. УО6-014 гермо ПВС 2*0,75 Универсал</t>
  </si>
  <si>
    <t>Лампа накаливания 60 Вт.</t>
  </si>
  <si>
    <t>Замена перегоревших, на ТЭ</t>
  </si>
  <si>
    <t>Авт. Выкл. ВА 47-29 1р 16А С ИЭК</t>
  </si>
  <si>
    <t>Установка задолжникам</t>
  </si>
  <si>
    <t>Панель светодная круглая NRLP-1445 14W 220v белая</t>
  </si>
  <si>
    <t>Замена вышедших из строя светильников</t>
  </si>
  <si>
    <t>сумма 2015г.</t>
  </si>
  <si>
    <t>муфта комб. 20*1/2</t>
  </si>
  <si>
    <t>ниппель 2"НН ник.</t>
  </si>
  <si>
    <t xml:space="preserve">искра золот. </t>
  </si>
  <si>
    <t>наконечник насоса</t>
  </si>
  <si>
    <t>кран. Шар. ДУ 15(1/2)</t>
  </si>
  <si>
    <t>гель сантехнический</t>
  </si>
  <si>
    <t>цанга 1/2 гайка 10 хром</t>
  </si>
  <si>
    <t>набор подключения радиатора 1/2 без кронштейна</t>
  </si>
  <si>
    <t>переходник на 10/шл (ВР 16, ВР 80)</t>
  </si>
  <si>
    <t>хомут червячный 16-25</t>
  </si>
  <si>
    <t>угольник ф20/90 ПП</t>
  </si>
  <si>
    <t>тройник ф20 ПП</t>
  </si>
  <si>
    <t>муфта комб. ВР 20*1/2</t>
  </si>
  <si>
    <t>муфта комб. НР 20*1/2</t>
  </si>
  <si>
    <t>хомут 4" (100-116) мет. с гайкой</t>
  </si>
  <si>
    <t xml:space="preserve">угольник ф40/90 </t>
  </si>
  <si>
    <t>хомут 20-32/9 С7</t>
  </si>
  <si>
    <t>штуцер 1/2х16 мм НР</t>
  </si>
  <si>
    <t>труба армированная</t>
  </si>
  <si>
    <t>заглушка ПВХ наруж. канал ф160</t>
  </si>
  <si>
    <t>насос Wilo- TMR 32/8</t>
  </si>
  <si>
    <t>шланг в/д быт. К 200/300 (7,5м)</t>
  </si>
  <si>
    <t>смеситель для ванны шаровой</t>
  </si>
  <si>
    <t>кран шар. фланц. Ду 100</t>
  </si>
  <si>
    <t>затвор поворотный чугун</t>
  </si>
  <si>
    <t>фильтр ФМФ ф100</t>
  </si>
  <si>
    <t>кран д/маном G1/2</t>
  </si>
  <si>
    <t>кран шар. 1/2" ВР</t>
  </si>
  <si>
    <t>прокладка паронитовая</t>
  </si>
  <si>
    <t>американка 25х1 НР ПП</t>
  </si>
  <si>
    <t>тройник ф25 ПП</t>
  </si>
  <si>
    <t>тройник 40*25*40</t>
  </si>
  <si>
    <t>труба армированная стекловол. SDR 7,4фх20х2,8 ПП</t>
  </si>
  <si>
    <t>труба армированная стекловол. SDR 6фх40х6,7 ПП</t>
  </si>
  <si>
    <t>переход эксцентр 50х110 ПП</t>
  </si>
  <si>
    <t>переход эксцентр ПВХ наруж. 160х110 ПП</t>
  </si>
  <si>
    <t>энергофлекс супер 133х13</t>
  </si>
  <si>
    <t>энергофлекс супер 110х13</t>
  </si>
  <si>
    <t>скотч армир. 50 мм*50м</t>
  </si>
  <si>
    <t xml:space="preserve">труба ф50х1500 с раст канал. </t>
  </si>
  <si>
    <t>отвод ф50/90 гр канал</t>
  </si>
  <si>
    <t>КШЦП из стали 20 Ду 25 Ру 4,0</t>
  </si>
  <si>
    <t>энергофлекс супер 54х13</t>
  </si>
  <si>
    <t>Сверла</t>
  </si>
  <si>
    <t>Отопление</t>
  </si>
  <si>
    <t>Кран шаровый</t>
  </si>
  <si>
    <t>Установка слива системы отопления в ИТП</t>
  </si>
  <si>
    <t>Футорка</t>
  </si>
  <si>
    <t>Муфта</t>
  </si>
  <si>
    <t>Переход</t>
  </si>
  <si>
    <t>Труба 40</t>
  </si>
  <si>
    <t>Труба 20</t>
  </si>
  <si>
    <t>Тройник</t>
  </si>
  <si>
    <t>Угольник 40</t>
  </si>
  <si>
    <t>Угольник 20</t>
  </si>
  <si>
    <t>Гель</t>
  </si>
  <si>
    <t>Сгон</t>
  </si>
  <si>
    <t>Гибкая труба</t>
  </si>
  <si>
    <t>Угольник</t>
  </si>
  <si>
    <t>Переходник</t>
  </si>
  <si>
    <t>Отопление рм</t>
  </si>
  <si>
    <t>Очиститель приборов отопления "ОПОТ-Н20"</t>
  </si>
  <si>
    <t>Водоснабжение рм</t>
  </si>
  <si>
    <t>Проволока для пломбира</t>
  </si>
  <si>
    <t>Опломбировка счетчиков</t>
  </si>
  <si>
    <t>Водоснабжение</t>
  </si>
  <si>
    <t>Клапан обратный Ду32(1 1/4"),VT.161</t>
  </si>
  <si>
    <t>Ремонт в системе ГВС</t>
  </si>
  <si>
    <t>Ниппель 1 1/4" НН ник. VT.582</t>
  </si>
  <si>
    <t>TR Кран шаровый PPRC 40 с ручкой Pilsa (Турция)</t>
  </si>
  <si>
    <t>Клапан впускной IDDIS_БП</t>
  </si>
  <si>
    <t>Водоснабжение бн</t>
  </si>
  <si>
    <t>Ремонт насоса Grundfos ТР 32-40</t>
  </si>
  <si>
    <t>Гель САНТЕХМАСТЕР 60гр. Синий</t>
  </si>
  <si>
    <t>Для проведения ремонтных работ</t>
  </si>
  <si>
    <t>Гель САНТЕХМАСТЕР 60гр. Красный</t>
  </si>
  <si>
    <t>Нить д/гемметизации резьбы "Tangit Унп-лок" (160м)</t>
  </si>
  <si>
    <t>Кран шар. Ду 15 (1/2) ВВ VT.217(бабочка)</t>
  </si>
  <si>
    <t>Прокладки д/подводки воды 3/4 силикон</t>
  </si>
  <si>
    <t>ПП Переход эксцентрический 110/50 (политэк)</t>
  </si>
  <si>
    <t>Счетчик турбинный ЭКО-65 ХОЛОДНАЯ ВОДА фланц.</t>
  </si>
  <si>
    <t>Для замены  вышедшего из строя общедомового прибора учета (счетчик холодной воды)</t>
  </si>
  <si>
    <t>Фланец  (П) 1-65*16 ГОСТ 12820-80</t>
  </si>
  <si>
    <t>ГАЙКА шестигранная М16</t>
  </si>
  <si>
    <t>ПРОКЛАДКА ПАРОНИТ. А -ф65-16</t>
  </si>
  <si>
    <t>Болт с шестигр. Гол. 16*70</t>
  </si>
  <si>
    <t>Труба 50 арм. Пласт.</t>
  </si>
  <si>
    <t>Аварийный ремонт на системе ГВС</t>
  </si>
  <si>
    <t>Кран 50 пласт.</t>
  </si>
  <si>
    <t>Тройник 50*20*50 пл.</t>
  </si>
  <si>
    <t>Муфта 50 пл.</t>
  </si>
  <si>
    <t>Муфта 40 пл.</t>
  </si>
  <si>
    <t>Угол 15пл.</t>
  </si>
  <si>
    <t>Американка 15</t>
  </si>
  <si>
    <t>TR Муфта соединительная 63 Pilsa (Турция)</t>
  </si>
  <si>
    <t>TR Угольник 69 90 град. Pilsa (Турция)</t>
  </si>
  <si>
    <t>Ниппель 2" НН ник. VT.582</t>
  </si>
  <si>
    <t>TR Муфта комб. НР 63*2 Pilsa (Турция)</t>
  </si>
  <si>
    <t>Кран шар. Ду 50 (2") ВВVT 214 (ручка)</t>
  </si>
  <si>
    <t>TR Муфта 40 PN 20 Pilsa (Турция)</t>
  </si>
  <si>
    <t>TR Труба 40 PN 20 Pilsa (Турция)</t>
  </si>
  <si>
    <t>TR Муфта пепреходная 40/20 ВВ</t>
  </si>
  <si>
    <t>19.05.215</t>
  </si>
  <si>
    <t>Кран шар. 11Б27п1 Ду 50 (2") ВВ рычаг (БАЗ)</t>
  </si>
  <si>
    <t xml:space="preserve">Для проведения ремонтных работ </t>
  </si>
  <si>
    <t>TR Муфта комб. НР 40*1 1/4" Pilsa (Турция)</t>
  </si>
  <si>
    <t>Футорка 2"*1 1/4" НВ ник. VT.581</t>
  </si>
  <si>
    <t>Нипель 1/2" НН ник. VT.582</t>
  </si>
  <si>
    <t>Бур по бетону 6*160 мм matrix</t>
  </si>
  <si>
    <t>Для работ по выводу из подвала воды для полива</t>
  </si>
  <si>
    <t>Футорка 1"*1/2" НВ ник. VT.581</t>
  </si>
  <si>
    <t>Сгон Ду 15 L=110</t>
  </si>
  <si>
    <t>Переходник на р/шл 1/2 BP/16</t>
  </si>
  <si>
    <t>TR Муфта переходная 50/44 Pilsa (Турция)</t>
  </si>
  <si>
    <t>TR Муфта комб. ВР 50*1 1/2" Pilsa</t>
  </si>
  <si>
    <t>TR Муфта комбинированная НР 20* 1/2" Pilsa (Турция)</t>
  </si>
  <si>
    <t>Перчатки ластекс. Удлин. Манжет</t>
  </si>
  <si>
    <t>Защита, при проведении ремонтных работ</t>
  </si>
  <si>
    <t>TR Угольник 40 45 град. Pilsa (Турция)</t>
  </si>
  <si>
    <t>Аварийный ремонт системы ГВС</t>
  </si>
  <si>
    <t>88-20</t>
  </si>
  <si>
    <t>TR Труба 40 PN 20 армир.стекловол. Pilsa (Турция)</t>
  </si>
  <si>
    <t>TR Муфта соединительна 40 Pilsa (Турция)</t>
  </si>
  <si>
    <t>Манометр МП -100 0-1,6 Мпа</t>
  </si>
  <si>
    <t>Замена манометров не прошедших поверку</t>
  </si>
  <si>
    <t>88-ТУ</t>
  </si>
  <si>
    <t>Нипель 1  1/4"*1" НН ник. VT.580</t>
  </si>
  <si>
    <t>Угольник  (чугун) Ду 32</t>
  </si>
  <si>
    <t>Тройник (чугун) Ду 32</t>
  </si>
  <si>
    <t>Нипель-переходник 1  1/4"*1/2" НН ник. VT.580</t>
  </si>
  <si>
    <t>Бочата Ду 32</t>
  </si>
  <si>
    <t>Кран шар. 11Б27п1 Ду 32 (1  1/4") ВВ рычаг (БАЗ)</t>
  </si>
  <si>
    <t>Резьба Ду 32</t>
  </si>
  <si>
    <t>Резьба Ду 15</t>
  </si>
  <si>
    <t>Резьба Ду 20</t>
  </si>
  <si>
    <t>Сгон Ду 32 L=130</t>
  </si>
  <si>
    <t>Контрогайка (чугун) Ду 32</t>
  </si>
  <si>
    <t>Муфта (чугун) Ду 32</t>
  </si>
  <si>
    <t>Кран шар. 11Б27п1 Ду 20 (3/4") ВВ рычаг (БАЗ)</t>
  </si>
  <si>
    <t>Кран шар. 11Б27п1 Ду 15 (1/2") ВВ рычаг (БАЗ)</t>
  </si>
  <si>
    <t>Круг отрезной 125*2,5*22 сталь</t>
  </si>
  <si>
    <t>Лен сантехнический</t>
  </si>
  <si>
    <t xml:space="preserve">Отопление </t>
  </si>
  <si>
    <t>Прокладка пар. Ду.65</t>
  </si>
  <si>
    <t>Резьба Ду 25</t>
  </si>
  <si>
    <t>90-ТУ</t>
  </si>
  <si>
    <t>Сгон-амер. Прямой 1" ВН ник. VT.341</t>
  </si>
  <si>
    <t>Кран шар. 11Б27п1 Ду 25 (1") ВВ рычаг (БАЗ)</t>
  </si>
  <si>
    <t>Уголок (чугун) Ду 25</t>
  </si>
  <si>
    <t>Резьба Ду 50</t>
  </si>
  <si>
    <t>Тройник (чугун) Ду 25</t>
  </si>
  <si>
    <t>Бочата Ду 25</t>
  </si>
  <si>
    <t>Нипель-переходник 1"*1/2" НН ник. VT.580</t>
  </si>
  <si>
    <t>Муфта (чугун) Ду 25</t>
  </si>
  <si>
    <t>Ключ трубный рычажн №0 СИБИРТЕХ</t>
  </si>
  <si>
    <t>Вспомогательное оборудование для проведения аварийных и ремонтных работ УК</t>
  </si>
  <si>
    <t>Ключ трубный рычажн №1 СИБИРТЕХ</t>
  </si>
  <si>
    <t>Ключ трубный рычажн №2 СИБИРТЕХ</t>
  </si>
  <si>
    <t>Ключ для "Американка" эконом</t>
  </si>
  <si>
    <t>Ключ разводной 300мм MATRIX</t>
  </si>
  <si>
    <t>Ключ разводной 250мм MATRIX</t>
  </si>
  <si>
    <t>Ключ разводной 150мм MATRIX</t>
  </si>
  <si>
    <t>Отвертка РН*150мм</t>
  </si>
  <si>
    <t>TR GN  Компл. Сварочного обор. СМ-03 Candan 1500ВТ</t>
  </si>
  <si>
    <t>Отвертка SL*75мм черная рукоятка</t>
  </si>
  <si>
    <t>Отвод Ду. 15</t>
  </si>
  <si>
    <t>Резьба Ду. 15</t>
  </si>
  <si>
    <t>Кран шар. 11Б27п1 Ду.15(1/2") ВВ рычаг (БАЗ)</t>
  </si>
  <si>
    <t>Набор слесарно-монтажный MATRIX _12 пред.</t>
  </si>
  <si>
    <t>Отвод крутоиз. du 57</t>
  </si>
  <si>
    <t>Тиски слесарные поворотные</t>
  </si>
  <si>
    <t>Вспомогательное оборудование</t>
  </si>
  <si>
    <t>Ключи трубчатые (10шт.)</t>
  </si>
  <si>
    <t>Средство "Золушка", для чистки металла</t>
  </si>
  <si>
    <t>Пемолюкс 500 Крем Лимон</t>
  </si>
  <si>
    <t>Лимонная кислота  30г</t>
  </si>
  <si>
    <t>Щетка одежная</t>
  </si>
  <si>
    <t>Ключ трубный рычажный №4 литой /СИБРТЕХ</t>
  </si>
  <si>
    <t>Набор ключей комбинированных КГК №12</t>
  </si>
  <si>
    <t>Ключ шестигранный SW 9/0 117*47/WITTE</t>
  </si>
  <si>
    <t>Ключ шестигранный SW 12/0 137*47/WITTE</t>
  </si>
  <si>
    <t>Ключ шестигранный SW 14/0 154*70/WITTE</t>
  </si>
  <si>
    <t>Ключ гаечный двуст 10*12 CrV</t>
  </si>
  <si>
    <t>Ключ гаечный двуст 13*14 CrV</t>
  </si>
  <si>
    <t>Ключ гаечный двуст 14*17 CrV</t>
  </si>
  <si>
    <t>Ключ гаечный двуст 19*22 CrV</t>
  </si>
  <si>
    <t>Ключ гаечный двуст 24*27 CrV</t>
  </si>
  <si>
    <t>Ключ гаечный двуст 30*32 CrV</t>
  </si>
  <si>
    <t>Набор шестигранников "Центроинструмент" 9шт.</t>
  </si>
  <si>
    <t>Муфта разъем. С ВР 63*2PPRC</t>
  </si>
  <si>
    <t>Замена вышедшего из строя</t>
  </si>
  <si>
    <t>Шаровый кран PPRC 63</t>
  </si>
  <si>
    <t>Электроды ОК 46.0</t>
  </si>
  <si>
    <t>Труба Дм57</t>
  </si>
  <si>
    <t>Ключ комбинированный 38мм/JONNESWAY</t>
  </si>
  <si>
    <t>Шланг высок. давл. для минимоек karcher</t>
  </si>
  <si>
    <t>Ножницы по металлу</t>
  </si>
  <si>
    <t>Герметик</t>
  </si>
  <si>
    <t>для проведения ремонтных работ</t>
  </si>
  <si>
    <t>Шпилька Дм. 14</t>
  </si>
  <si>
    <t>для проведения плановых ремонтных работ</t>
  </si>
  <si>
    <t>Гайка, шайба</t>
  </si>
  <si>
    <t>Круг Дм. 230</t>
  </si>
  <si>
    <t>Отвод  Дм. 90</t>
  </si>
  <si>
    <t>Труба Дм. 100</t>
  </si>
  <si>
    <t>Труба Дм. 90</t>
  </si>
  <si>
    <t>TR Уголок 32 90 град. Pilsa (Турция)</t>
  </si>
  <si>
    <t>TR Муфта соединительная 32 Pilsa (Турция)</t>
  </si>
  <si>
    <t>TR Труба 32 PN 20 армир.стекловол. PILSA</t>
  </si>
  <si>
    <t>Кислота щавелевая техническая (фас. 1 кг.)</t>
  </si>
  <si>
    <t>для чистки пластин теплообменников</t>
  </si>
  <si>
    <t>Губки для посуды</t>
  </si>
  <si>
    <t>ПП Муфта ремонтная 110 (политзк)</t>
  </si>
  <si>
    <t>Ремонт вытяжных труб</t>
  </si>
  <si>
    <t>ПП Труба с раструбом 110*1000 (политэк)</t>
  </si>
  <si>
    <t>ПП Зонт вытяжной Дм.100</t>
  </si>
  <si>
    <t>Шпилька оцинкованная М16*1000 DIN975</t>
  </si>
  <si>
    <t>Гайка М16 ГОСТ 5915-70</t>
  </si>
  <si>
    <t>Промывка системы</t>
  </si>
  <si>
    <t>Хомут червячный 12-20</t>
  </si>
  <si>
    <t>Хомут червячный 16-27</t>
  </si>
  <si>
    <t>Переходник на р/шл 1/2 BP/18</t>
  </si>
  <si>
    <t>Муфта (чугун) Ду15</t>
  </si>
  <si>
    <t>TR Тройник переходной 40*32*40 Pilsa (Турция)</t>
  </si>
  <si>
    <t>Аварийные работы, ремонт общедомового стояка системы ГВС</t>
  </si>
  <si>
    <t>90-11</t>
  </si>
  <si>
    <t>TR Муфта комб. НР 32*1" Pilsa (Турция)</t>
  </si>
  <si>
    <t>TR Уголок 40 90 град. Pilsa (Турция)</t>
  </si>
  <si>
    <t>TR Муфта соединительная 40 Pilsa (Турция)</t>
  </si>
  <si>
    <t>TR Труба 40 PN 20 армир.стекловол. Pilsa</t>
  </si>
  <si>
    <t>Прокладка д/подводки воды 3/4 силикон</t>
  </si>
  <si>
    <t>Монтаж теплосчетчиков</t>
  </si>
  <si>
    <t>TR Тройник переходной 40*20*40 Pilsa (Турция)</t>
  </si>
  <si>
    <t>TR Тройник 20 Pilsa (Турция)</t>
  </si>
  <si>
    <t>TR Муфта соединительная 20 Pilsa (Турция)</t>
  </si>
  <si>
    <t>TR Муфта комб. Разъмная вн.р. 20*1/2" Pilsa (Турция)</t>
  </si>
  <si>
    <t>TR Муфта комб. Разъмная НР 20*1/2" Pilsa (Турция)</t>
  </si>
  <si>
    <t>TR Уголок 20 90 град. Pilsa (Турция)</t>
  </si>
  <si>
    <t>TR Труба 20 PN 20 Pilsa (Турция)</t>
  </si>
  <si>
    <t>Ниппель 1/2" НН ник. VT.582</t>
  </si>
  <si>
    <t>Клапан. Обр. межфланцевый 2-створчатый Ду40 Ру 16 DENDOR</t>
  </si>
  <si>
    <t>Прокладка паронитовая Ду40</t>
  </si>
  <si>
    <t>Элемент питания</t>
  </si>
  <si>
    <t>Установлен в прибор учета тепла ОД</t>
  </si>
  <si>
    <t>Пломбы свинцовые</t>
  </si>
  <si>
    <t>Опломбировка ППУ счетчиков</t>
  </si>
  <si>
    <t>Труба м/пластик VALTEC 16*2,0 мм.</t>
  </si>
  <si>
    <t>Муфта обжим. 16 Valtec (VTm.303)</t>
  </si>
  <si>
    <t>Муфта обжим ВР 16*1/2" Valtec (VTm.302)</t>
  </si>
  <si>
    <t>Муфта обжим. 16*1/2" Valtec (VTm.301)</t>
  </si>
  <si>
    <t>Фен технический DORKEL 2000</t>
  </si>
  <si>
    <t>Для отогрева замерзших труб</t>
  </si>
  <si>
    <t>Гибкий вал Д12 L=15,0м. Ручка</t>
  </si>
  <si>
    <t>Для прочистки засора в канализации</t>
  </si>
  <si>
    <t>Шланг дм. 14</t>
  </si>
  <si>
    <t>Хомут</t>
  </si>
  <si>
    <t>Штуцер 1/2*14</t>
  </si>
  <si>
    <t>Перчатки обр.</t>
  </si>
  <si>
    <t>Отвод крутоиз. Ду.57</t>
  </si>
  <si>
    <t>Отвод резьбовой ду.15</t>
  </si>
  <si>
    <t>Резьба ду.15</t>
  </si>
  <si>
    <t>Муфта (чугун) ду.15</t>
  </si>
  <si>
    <t>Кран шар.11Б27п1 ду.15 (1/2) ВВ бабочка</t>
  </si>
  <si>
    <t>Резьба ду.50</t>
  </si>
  <si>
    <t>TR Заглушка 20 Рilsa (Турция)</t>
  </si>
  <si>
    <t>Вент клапанный латунный КАТРИдж 400</t>
  </si>
  <si>
    <t>Шланг душевой 150 см. ИМП</t>
  </si>
  <si>
    <t>Муфты дм. 15</t>
  </si>
  <si>
    <t>Кран  PPR дм.63</t>
  </si>
  <si>
    <t>Труба Дм. 57</t>
  </si>
  <si>
    <t>Перчатки вязанные с ПВХ Протектор. Люкс</t>
  </si>
  <si>
    <t>TR Муфта комб. ВР 20 *1/2"</t>
  </si>
  <si>
    <t>Аварийно-ремонтные работы по ремонту труб ГВС</t>
  </si>
  <si>
    <t>TR Муфта комб. 2*1/2" Рilsa (Турция)</t>
  </si>
  <si>
    <t>TR Тройник переходной 40*20*40 Рilsa (Турция)</t>
  </si>
  <si>
    <t>Кислота щавелевая</t>
  </si>
  <si>
    <t>Промывка теплообменников</t>
  </si>
  <si>
    <t>Паранит</t>
  </si>
  <si>
    <t>Для изготовления прокладок</t>
  </si>
  <si>
    <t>Труба дм.63мм.</t>
  </si>
  <si>
    <t>Замена вышедшей из строя</t>
  </si>
  <si>
    <t>Электроды</t>
  </si>
  <si>
    <t>Для проведения сварочных работ</t>
  </si>
  <si>
    <t>Отводы Дм. 57мм.</t>
  </si>
  <si>
    <t>Замена вышедших из строя</t>
  </si>
  <si>
    <t>Труба Дм.63мм. нержавейка</t>
  </si>
  <si>
    <t>Ремонт системы ГВС</t>
  </si>
  <si>
    <t>Резьба нержавейка</t>
  </si>
  <si>
    <t>Обратный клапан Дм. 40мм.</t>
  </si>
  <si>
    <t>Переходы  с дм. 63мм. На Дм. 40мм.</t>
  </si>
  <si>
    <t>Трубап/п 40 стекл/армир</t>
  </si>
  <si>
    <t>Трубап/п Д 50 стекл/армир</t>
  </si>
  <si>
    <t>Муфта п/п 40</t>
  </si>
  <si>
    <t>Муфта п/п 50</t>
  </si>
  <si>
    <t>Кран п/п шаровый Дм.63</t>
  </si>
  <si>
    <t>Кран п/п шаровый Дм.50</t>
  </si>
  <si>
    <t>Муфта п/п комбинированная 50-1 1/2"В</t>
  </si>
  <si>
    <t>Тройник п/п 50</t>
  </si>
  <si>
    <t>Кран VT шаровый 1/2" ВВ рычаг</t>
  </si>
  <si>
    <t>Кран VT шаровый 3/4" ВВ рычаг</t>
  </si>
  <si>
    <t>Лен сантехнический касичка малая RR</t>
  </si>
  <si>
    <t>Уголок п/п D50 90</t>
  </si>
  <si>
    <t>Перчатки латекс. Удлин. Манжет</t>
  </si>
  <si>
    <t>Промывка пластин теплообменника системы ГВС</t>
  </si>
  <si>
    <t xml:space="preserve">Губкидля посуды </t>
  </si>
  <si>
    <t>Губка "Гантель"</t>
  </si>
  <si>
    <t>силикон</t>
  </si>
  <si>
    <t>ремонт ливневой канализации</t>
  </si>
  <si>
    <t>Насос дренажный ДЖЛ 110/6</t>
  </si>
  <si>
    <t>Замена пришедшего в негодность</t>
  </si>
  <si>
    <t>Треба п/п дм.50 внутр/армиров</t>
  </si>
  <si>
    <t>Уголок п/пДм.50 90</t>
  </si>
  <si>
    <t>Тройник п/п  переходной 50*20*50</t>
  </si>
  <si>
    <t>Муфта п/п комбинированная 20-1/2"нр</t>
  </si>
  <si>
    <t>Треба п/п дм. 40 внутр/армиров</t>
  </si>
  <si>
    <t>Кран п/п шаровый 63</t>
  </si>
  <si>
    <t>Кран п/п шаровый 50</t>
  </si>
  <si>
    <t>Кран VT шаровый 3/4" ВВ бабочка</t>
  </si>
  <si>
    <t>Резьба ЧГ Ду 20 (40мм) 3/4"</t>
  </si>
  <si>
    <t>Термометр Т63/50 биме. 0-120 С. Д 63мм. 1/2" WATTS</t>
  </si>
  <si>
    <t>Ремонт  системы ГВС</t>
  </si>
  <si>
    <t>Резьба нержав.</t>
  </si>
  <si>
    <t>Труба нержав. Дм. 76</t>
  </si>
  <si>
    <t>Компенсатор резиновый муф. Ду.40</t>
  </si>
  <si>
    <t>Фильт магн. Фланцев. Дм. 50</t>
  </si>
  <si>
    <t>Ниппель-переходник 5   1/2"  1/4" НН ниж.VT 580</t>
  </si>
  <si>
    <t>Переходник для насоса</t>
  </si>
  <si>
    <t>Прокладка 3/4" резина</t>
  </si>
  <si>
    <t>Для ремонтных работ</t>
  </si>
  <si>
    <t>Прокладка 1/2" резина</t>
  </si>
  <si>
    <t>Прокладка 3/4" селикон</t>
  </si>
  <si>
    <t>Прокладка 3/4" паранит</t>
  </si>
  <si>
    <t>Прокладка 1/2" паранит</t>
  </si>
  <si>
    <t xml:space="preserve">Прокладка фторопласт 3/4" </t>
  </si>
  <si>
    <t xml:space="preserve">Прокладка резина 1" </t>
  </si>
  <si>
    <t xml:space="preserve">Прокладка фторопласт 1/2" </t>
  </si>
  <si>
    <t>Подмотка</t>
  </si>
  <si>
    <t>Прокладки резин.</t>
  </si>
  <si>
    <t xml:space="preserve">муфта п.п </t>
  </si>
  <si>
    <t>ремонт гвс</t>
  </si>
  <si>
    <t>светильник светодиодный</t>
  </si>
  <si>
    <t>замена</t>
  </si>
  <si>
    <t>Блок питания ИЭП 18</t>
  </si>
  <si>
    <t>За акты по промывке и опрессовке</t>
  </si>
  <si>
    <t>ЗП сантехникам за промывку</t>
  </si>
  <si>
    <t>Сварщик за работы</t>
  </si>
  <si>
    <t>Доп.доход</t>
  </si>
  <si>
    <t>8.1</t>
  </si>
  <si>
    <t>Оплата аварийного сантехника</t>
  </si>
  <si>
    <t>7.2</t>
  </si>
  <si>
    <t>9.1.</t>
  </si>
  <si>
    <t>10</t>
  </si>
  <si>
    <t>10.1</t>
  </si>
  <si>
    <t>10.2</t>
  </si>
  <si>
    <t>10.3</t>
  </si>
  <si>
    <t>10.4</t>
  </si>
  <si>
    <t>10.5</t>
  </si>
  <si>
    <t>Доход от продажи пультов</t>
  </si>
  <si>
    <t>Закуплено</t>
  </si>
  <si>
    <t>Расход без продажи</t>
  </si>
  <si>
    <t>Продажа</t>
  </si>
  <si>
    <t>9.2</t>
  </si>
  <si>
    <t>9.3</t>
  </si>
  <si>
    <t>9.4</t>
  </si>
  <si>
    <t>9.5</t>
  </si>
  <si>
    <t>10.1.</t>
  </si>
  <si>
    <t>Аренда ОИ</t>
  </si>
  <si>
    <t>9.6</t>
  </si>
  <si>
    <t>9.7</t>
  </si>
  <si>
    <t>Метла пластиковая с черенком плоская</t>
  </si>
  <si>
    <t>Для уборки территории</t>
  </si>
  <si>
    <t>Метла пластиковая с черенком круглая</t>
  </si>
  <si>
    <t>Мешки для мусора 160л.(40мкм)GRIFON ПВД черные 25шт.</t>
  </si>
  <si>
    <t>Ведро 12л. Оцинкованное</t>
  </si>
  <si>
    <t>Совок металлический для уборки (25)</t>
  </si>
  <si>
    <t>Лопата совковая ЛСП (М) с черенком</t>
  </si>
  <si>
    <t>Лопата совковая ЛКО (М) с черенком</t>
  </si>
  <si>
    <t>пакет для мусора МАХ</t>
  </si>
  <si>
    <t>Метла СОРГО</t>
  </si>
  <si>
    <t>Для уборки територии</t>
  </si>
  <si>
    <t xml:space="preserve">Мешки д/мусора </t>
  </si>
  <si>
    <t>Затраты в период с 01.03.2015</t>
  </si>
  <si>
    <t>Полотно нетканое</t>
  </si>
  <si>
    <t>Для уборки</t>
  </si>
  <si>
    <t>Ткань вафельная</t>
  </si>
  <si>
    <t>Перчатки</t>
  </si>
  <si>
    <t>Веник</t>
  </si>
  <si>
    <t>Пакеты</t>
  </si>
  <si>
    <t>Ведро 7л</t>
  </si>
  <si>
    <t>Ведро 12л</t>
  </si>
  <si>
    <t>Совок</t>
  </si>
  <si>
    <t>Жид. Для мытья пола</t>
  </si>
  <si>
    <t>Мыло хозяйственное</t>
  </si>
  <si>
    <t>Черенок для щеток метал. С резьбой</t>
  </si>
  <si>
    <t xml:space="preserve">Щетка Камелия </t>
  </si>
  <si>
    <t>Перчатки СЛ (биосфера):30</t>
  </si>
  <si>
    <t>Белизна</t>
  </si>
  <si>
    <t>Средство для мытья пола Мистер Пропер</t>
  </si>
  <si>
    <t>Средство для мытья окон</t>
  </si>
  <si>
    <t>Ерш для туалета</t>
  </si>
  <si>
    <t>Ветошь для пола</t>
  </si>
  <si>
    <t>Щетка подметальная МАКИ мягкая</t>
  </si>
  <si>
    <t>Черенок для швабры</t>
  </si>
  <si>
    <t>Щетка Камелия с черенком</t>
  </si>
  <si>
    <t>Набор "Моп-сет" 10л MIX</t>
  </si>
  <si>
    <t>для уборки подъездов</t>
  </si>
  <si>
    <t>Насадка д/пола "Мега" хлопок</t>
  </si>
  <si>
    <t>Мешки д/мусора 30л. 30шт.</t>
  </si>
  <si>
    <t>Для уборки подъездов</t>
  </si>
  <si>
    <t>Полотно нетканое шир.150см.</t>
  </si>
  <si>
    <t>86-3п.</t>
  </si>
  <si>
    <t>86-2п.</t>
  </si>
  <si>
    <t>Коврик резиновый противоскользящий</t>
  </si>
  <si>
    <t>86-1,2,3</t>
  </si>
  <si>
    <t>Коврик резина 16мм 100*150 см</t>
  </si>
  <si>
    <t>Укладка противоскользящих резиновых ковриков в 1 тамбуре (подъезды)</t>
  </si>
  <si>
    <t>86-1,2,3п.</t>
  </si>
  <si>
    <t>Замок накладной (5ключей)</t>
  </si>
  <si>
    <t xml:space="preserve">Установка (сварка) накладных замков на двери (решетки) выходов на крышу </t>
  </si>
  <si>
    <t>86-1п,2п,3п.</t>
  </si>
  <si>
    <t>Ручка-кнопка шаровая с ключом</t>
  </si>
  <si>
    <t>В общественный туалет</t>
  </si>
  <si>
    <t>86 (в туалет)</t>
  </si>
  <si>
    <t xml:space="preserve">Замок висячий </t>
  </si>
  <si>
    <t>Замок на решотку, выход на ТЭ</t>
  </si>
  <si>
    <t>86-1п.</t>
  </si>
  <si>
    <t>Замок висячий цилиндрический</t>
  </si>
  <si>
    <t>Изготовление дубликата ключа</t>
  </si>
  <si>
    <t>Паркинг</t>
  </si>
  <si>
    <t>86-паркинг</t>
  </si>
  <si>
    <t>Изготовление дубликатов ключей, доводчик</t>
  </si>
  <si>
    <t xml:space="preserve">Изготовление дубликатов ключей </t>
  </si>
  <si>
    <t>ТЭ</t>
  </si>
  <si>
    <t>86-3п.-2эт.</t>
  </si>
  <si>
    <t>Доводчик Апекс (с упором)</t>
  </si>
  <si>
    <t>Доводка и фиксация входных дверей</t>
  </si>
  <si>
    <t>Замена стекла в подъезде (Арс-Витраж)</t>
  </si>
  <si>
    <t>Гофра Ф20 тяжолая ЛВД</t>
  </si>
  <si>
    <t>Установка дополнительных розеток на техэтаже</t>
  </si>
  <si>
    <t>86-ТЭ</t>
  </si>
  <si>
    <t>Изолента ПВХ 19/20 серо-стальная</t>
  </si>
  <si>
    <t>Кабель ВВГ нг 3*2,5 ГОСТ</t>
  </si>
  <si>
    <t>122 Розетка 1 мест с/з накладная белая 710-0200-122 НАТА</t>
  </si>
  <si>
    <t>Стремянка широкие 6 ступеней (алюмин) СА6</t>
  </si>
  <si>
    <t>Вспомогательный инвентарь</t>
  </si>
  <si>
    <t>Лампа накаливания 75Вт., 220В, Е27, прозрачная (10129060/151113/0017031/3, ПОЛЬША)</t>
  </si>
  <si>
    <t>Замена пришедших в негодность</t>
  </si>
  <si>
    <t>Лампа накаливания 75Вт., 220В, Е27, прозрачная</t>
  </si>
  <si>
    <t>Лампа накаливания 60Вт., 220В, Е27, прозрачная</t>
  </si>
  <si>
    <t>Комплект для промывки труб и водосточных желобов</t>
  </si>
  <si>
    <t>Промывка системы канализации 3-4эт.</t>
  </si>
  <si>
    <t>Расходный материал для запуска системы отопления</t>
  </si>
  <si>
    <t>Прокладка д/подводки воды 1/2 силикон</t>
  </si>
  <si>
    <t>Прокладка д/подводки воды 1 резина</t>
  </si>
  <si>
    <t>Нить д/герметизации резьбы "Tangit Уни-лок" (160м)</t>
  </si>
  <si>
    <t>Перчатки резиновые с манжетом</t>
  </si>
  <si>
    <t>Очистка канализационной системы</t>
  </si>
  <si>
    <t>Перчатки резиновые</t>
  </si>
  <si>
    <t>Очистка канализации</t>
  </si>
  <si>
    <t>План д.88, д.90, д.92,д.86 руб.</t>
  </si>
  <si>
    <t>Фактические затраты, руб.</t>
  </si>
  <si>
    <t xml:space="preserve">Отклонение от плана, руб. </t>
  </si>
  <si>
    <t>Итого план д.88, д.90, д.92, руб.</t>
  </si>
  <si>
    <t xml:space="preserve">Фактические затраты, руб. </t>
  </si>
  <si>
    <r>
      <t>Тариф с м</t>
    </r>
    <r>
      <rPr>
        <b/>
        <vertAlign val="superscript"/>
        <sz val="12"/>
        <rFont val="Times New Roman"/>
        <family val="1"/>
        <charset val="204"/>
      </rPr>
      <t xml:space="preserve">2  </t>
    </r>
    <r>
      <rPr>
        <b/>
        <sz val="12"/>
        <rFont val="Times New Roman"/>
        <family val="1"/>
        <charset val="204"/>
      </rPr>
      <t>руб. в месяц</t>
    </r>
  </si>
  <si>
    <t>Директор ООО УК "Финист"</t>
  </si>
  <si>
    <t>Ю.А. Сухарченко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</si>
</sst>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7"/>
      <color indexed="81"/>
      <name val="Tahoma"/>
      <family val="2"/>
      <charset val="204"/>
    </font>
    <font>
      <sz val="7"/>
      <color theme="1"/>
      <name val="Calibri"/>
      <family val="2"/>
      <charset val="204"/>
      <scheme val="minor"/>
    </font>
    <font>
      <b/>
      <vertAlign val="superscript"/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b/>
      <i/>
      <sz val="11"/>
      <color rgb="FFFF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204"/>
    </font>
    <font>
      <sz val="10"/>
      <name val="Calibri"/>
      <family val="2"/>
      <charset val="1"/>
    </font>
    <font>
      <sz val="9"/>
      <name val="Calibri"/>
      <family val="2"/>
      <charset val="1"/>
      <scheme val="minor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6" fillId="0" borderId="0"/>
    <xf numFmtId="164" fontId="16" fillId="0" borderId="0" applyFont="0" applyFill="0" applyBorder="0" applyAlignment="0" applyProtection="0"/>
  </cellStyleXfs>
  <cellXfs count="715">
    <xf numFmtId="0" fontId="0" fillId="0" borderId="0" xfId="0"/>
    <xf numFmtId="4" fontId="7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2" fontId="8" fillId="0" borderId="1" xfId="1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vertical="center" wrapText="1"/>
    </xf>
    <xf numFmtId="4" fontId="8" fillId="2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8" xfId="6" applyNumberFormat="1" applyFont="1" applyFill="1" applyBorder="1" applyAlignment="1">
      <alignment horizontal="right" vertical="center" wrapText="1"/>
    </xf>
    <xf numFmtId="4" fontId="8" fillId="0" borderId="1" xfId="6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6" fillId="0" borderId="1" xfId="7" applyNumberFormat="1" applyBorder="1" applyAlignment="1">
      <alignment horizontal="center" vertical="center" wrapText="1"/>
    </xf>
    <xf numFmtId="0" fontId="16" fillId="0" borderId="1" xfId="7" applyBorder="1" applyAlignment="1">
      <alignment horizontal="center" vertical="center" wrapText="1"/>
    </xf>
    <xf numFmtId="0" fontId="16" fillId="0" borderId="1" xfId="7" applyBorder="1" applyAlignment="1">
      <alignment horizontal="left" vertical="center" wrapText="1"/>
    </xf>
    <xf numFmtId="0" fontId="16" fillId="0" borderId="1" xfId="7" applyFill="1" applyBorder="1" applyAlignment="1">
      <alignment horizontal="center" vertical="center" wrapText="1"/>
    </xf>
    <xf numFmtId="0" fontId="16" fillId="0" borderId="0" xfId="7"/>
    <xf numFmtId="2" fontId="16" fillId="0" borderId="11" xfId="7" applyNumberFormat="1" applyFill="1" applyBorder="1" applyAlignment="1">
      <alignment horizontal="right" vertical="center" wrapText="1"/>
    </xf>
    <xf numFmtId="0" fontId="16" fillId="0" borderId="11" xfId="7" applyFill="1" applyBorder="1" applyAlignment="1">
      <alignment horizontal="right" vertical="center" wrapText="1"/>
    </xf>
    <xf numFmtId="0" fontId="16" fillId="0" borderId="11" xfId="7" applyFill="1" applyBorder="1" applyAlignment="1">
      <alignment horizontal="left" vertical="center" wrapText="1"/>
    </xf>
    <xf numFmtId="14" fontId="16" fillId="0" borderId="11" xfId="7" applyNumberFormat="1" applyFill="1" applyBorder="1" applyAlignment="1">
      <alignment horizontal="center" vertical="center" wrapText="1"/>
    </xf>
    <xf numFmtId="0" fontId="16" fillId="0" borderId="11" xfId="7" applyBorder="1" applyAlignment="1">
      <alignment horizontal="center" vertical="center"/>
    </xf>
    <xf numFmtId="0" fontId="16" fillId="0" borderId="11" xfId="7" applyFill="1" applyBorder="1" applyAlignment="1">
      <alignment horizontal="center" vertical="center" wrapText="1"/>
    </xf>
    <xf numFmtId="0" fontId="16" fillId="0" borderId="11" xfId="7" applyNumberFormat="1" applyFill="1" applyBorder="1" applyAlignment="1">
      <alignment horizontal="center" vertical="center" wrapText="1"/>
    </xf>
    <xf numFmtId="0" fontId="16" fillId="0" borderId="4" xfId="7" applyBorder="1" applyAlignment="1">
      <alignment vertical="center" wrapText="1"/>
    </xf>
    <xf numFmtId="0" fontId="16" fillId="0" borderId="10" xfId="7" applyBorder="1" applyAlignment="1">
      <alignment vertical="center" wrapText="1"/>
    </xf>
    <xf numFmtId="0" fontId="16" fillId="0" borderId="5" xfId="7" applyBorder="1" applyAlignment="1">
      <alignment vertical="center" wrapText="1"/>
    </xf>
    <xf numFmtId="164" fontId="0" fillId="0" borderId="11" xfId="8" applyFont="1" applyFill="1" applyBorder="1" applyAlignment="1">
      <alignment horizontal="right" vertical="center" wrapText="1"/>
    </xf>
    <xf numFmtId="2" fontId="16" fillId="0" borderId="12" xfId="7" applyNumberFormat="1" applyFill="1" applyBorder="1" applyAlignment="1">
      <alignment horizontal="right" vertical="center" wrapText="1"/>
    </xf>
    <xf numFmtId="0" fontId="16" fillId="0" borderId="12" xfId="7" applyFill="1" applyBorder="1" applyAlignment="1">
      <alignment horizontal="right" vertical="center" wrapText="1"/>
    </xf>
    <xf numFmtId="0" fontId="16" fillId="0" borderId="12" xfId="7" applyFill="1" applyBorder="1" applyAlignment="1">
      <alignment horizontal="left" vertical="center" wrapText="1"/>
    </xf>
    <xf numFmtId="2" fontId="16" fillId="0" borderId="5" xfId="7" applyNumberFormat="1" applyFill="1" applyBorder="1" applyAlignment="1">
      <alignment horizontal="right" vertical="center" wrapText="1"/>
    </xf>
    <xf numFmtId="0" fontId="16" fillId="0" borderId="5" xfId="7" applyFill="1" applyBorder="1" applyAlignment="1">
      <alignment horizontal="right" vertical="center" wrapText="1"/>
    </xf>
    <xf numFmtId="0" fontId="16" fillId="0" borderId="5" xfId="7" applyFill="1" applyBorder="1" applyAlignment="1">
      <alignment horizontal="left" vertical="center" wrapText="1"/>
    </xf>
    <xf numFmtId="0" fontId="16" fillId="0" borderId="4" xfId="7" applyBorder="1" applyAlignment="1">
      <alignment horizontal="center"/>
    </xf>
    <xf numFmtId="0" fontId="16" fillId="0" borderId="5" xfId="7" applyFill="1" applyBorder="1" applyAlignment="1">
      <alignment horizontal="center" vertical="center" wrapText="1"/>
    </xf>
    <xf numFmtId="0" fontId="16" fillId="0" borderId="11" xfId="7" applyBorder="1"/>
    <xf numFmtId="0" fontId="16" fillId="0" borderId="5" xfId="7" applyBorder="1" applyAlignment="1">
      <alignment horizontal="center" wrapText="1"/>
    </xf>
    <xf numFmtId="0" fontId="16" fillId="0" borderId="11" xfId="7" applyBorder="1" applyAlignment="1">
      <alignment horizontal="center" wrapText="1"/>
    </xf>
    <xf numFmtId="0" fontId="16" fillId="0" borderId="11" xfId="7" applyBorder="1" applyAlignment="1">
      <alignment wrapText="1"/>
    </xf>
    <xf numFmtId="14" fontId="16" fillId="0" borderId="13" xfId="7" applyNumberFormat="1" applyFill="1" applyBorder="1" applyAlignment="1">
      <alignment horizontal="center" vertical="center" wrapText="1"/>
    </xf>
    <xf numFmtId="2" fontId="16" fillId="0" borderId="13" xfId="7" applyNumberFormat="1" applyFill="1" applyBorder="1" applyAlignment="1">
      <alignment horizontal="right" vertical="center" wrapText="1"/>
    </xf>
    <xf numFmtId="0" fontId="16" fillId="0" borderId="13" xfId="7" applyFill="1" applyBorder="1" applyAlignment="1">
      <alignment horizontal="right" vertical="center" wrapText="1"/>
    </xf>
    <xf numFmtId="0" fontId="16" fillId="0" borderId="13" xfId="7" applyFill="1" applyBorder="1" applyAlignment="1">
      <alignment horizontal="left" vertical="center" wrapText="1"/>
    </xf>
    <xf numFmtId="0" fontId="16" fillId="0" borderId="13" xfId="7" applyBorder="1"/>
    <xf numFmtId="0" fontId="16" fillId="0" borderId="13" xfId="7" applyBorder="1" applyAlignment="1">
      <alignment horizontal="center"/>
    </xf>
    <xf numFmtId="0" fontId="16" fillId="0" borderId="5" xfId="7" applyBorder="1" applyAlignment="1">
      <alignment wrapText="1"/>
    </xf>
    <xf numFmtId="0" fontId="16" fillId="0" borderId="5" xfId="7" applyBorder="1" applyAlignment="1">
      <alignment horizontal="center"/>
    </xf>
    <xf numFmtId="0" fontId="16" fillId="0" borderId="12" xfId="7" applyBorder="1" applyAlignment="1">
      <alignment wrapText="1"/>
    </xf>
    <xf numFmtId="0" fontId="16" fillId="0" borderId="12" xfId="7" applyBorder="1" applyAlignment="1">
      <alignment horizontal="center"/>
    </xf>
    <xf numFmtId="0" fontId="16" fillId="0" borderId="11" xfId="7" applyBorder="1" applyAlignment="1">
      <alignment horizontal="center"/>
    </xf>
    <xf numFmtId="2" fontId="16" fillId="0" borderId="10" xfId="7" applyNumberFormat="1" applyFill="1" applyBorder="1" applyAlignment="1">
      <alignment horizontal="right" vertical="center" wrapText="1"/>
    </xf>
    <xf numFmtId="0" fontId="16" fillId="0" borderId="10" xfId="7" applyFill="1" applyBorder="1" applyAlignment="1">
      <alignment horizontal="right" vertical="center" wrapText="1"/>
    </xf>
    <xf numFmtId="0" fontId="16" fillId="0" borderId="10" xfId="7" applyFill="1" applyBorder="1" applyAlignment="1">
      <alignment horizontal="left" vertical="center" wrapText="1"/>
    </xf>
    <xf numFmtId="0" fontId="16" fillId="0" borderId="10" xfId="7" applyBorder="1" applyAlignment="1">
      <alignment wrapText="1"/>
    </xf>
    <xf numFmtId="0" fontId="16" fillId="0" borderId="10" xfId="7" applyBorder="1" applyAlignment="1">
      <alignment horizontal="center"/>
    </xf>
    <xf numFmtId="0" fontId="16" fillId="0" borderId="0" xfId="7" applyNumberFormat="1"/>
    <xf numFmtId="0" fontId="16" fillId="0" borderId="0" xfId="7" applyAlignment="1">
      <alignment horizontal="right"/>
    </xf>
    <xf numFmtId="2" fontId="16" fillId="0" borderId="0" xfId="7" applyNumberFormat="1" applyAlignment="1">
      <alignment horizontal="right"/>
    </xf>
    <xf numFmtId="0" fontId="16" fillId="0" borderId="0" xfId="7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4" fontId="8" fillId="2" borderId="11" xfId="1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7" fillId="3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1" applyFont="1" applyFill="1" applyBorder="1" applyAlignment="1">
      <alignment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16" fillId="0" borderId="13" xfId="7" applyBorder="1" applyAlignment="1">
      <alignment horizontal="center" wrapText="1"/>
    </xf>
    <xf numFmtId="0" fontId="16" fillId="0" borderId="11" xfId="7" applyBorder="1" applyAlignment="1">
      <alignment horizontal="right" vertical="center" wrapText="1"/>
    </xf>
    <xf numFmtId="0" fontId="16" fillId="0" borderId="11" xfId="7" applyBorder="1" applyAlignment="1">
      <alignment horizontal="center" vertical="center" wrapText="1"/>
    </xf>
    <xf numFmtId="0" fontId="16" fillId="0" borderId="0" xfId="7" applyAlignment="1">
      <alignment vertical="center" wrapText="1"/>
    </xf>
    <xf numFmtId="2" fontId="16" fillId="0" borderId="11" xfId="7" applyNumberFormat="1" applyBorder="1" applyAlignment="1">
      <alignment horizontal="right" vertical="center" wrapText="1"/>
    </xf>
    <xf numFmtId="0" fontId="16" fillId="0" borderId="11" xfId="7" applyBorder="1" applyAlignment="1">
      <alignment horizontal="left" vertical="center" wrapText="1"/>
    </xf>
    <xf numFmtId="0" fontId="16" fillId="0" borderId="11" xfId="7" applyBorder="1" applyAlignment="1">
      <alignment vertical="center" wrapText="1"/>
    </xf>
    <xf numFmtId="0" fontId="16" fillId="5" borderId="11" xfId="7" applyFill="1" applyBorder="1" applyAlignment="1">
      <alignment horizontal="right" vertical="center" wrapText="1"/>
    </xf>
    <xf numFmtId="0" fontId="16" fillId="5" borderId="11" xfId="7" applyFill="1" applyBorder="1" applyAlignment="1">
      <alignment horizontal="left" vertical="center" wrapText="1"/>
    </xf>
    <xf numFmtId="0" fontId="16" fillId="5" borderId="11" xfId="7" applyFill="1" applyBorder="1" applyAlignment="1">
      <alignment vertical="center" wrapText="1"/>
    </xf>
    <xf numFmtId="0" fontId="16" fillId="5" borderId="0" xfId="7" applyFill="1" applyAlignment="1">
      <alignment vertical="center" wrapText="1"/>
    </xf>
    <xf numFmtId="14" fontId="16" fillId="0" borderId="11" xfId="7" applyNumberFormat="1" applyBorder="1" applyAlignment="1">
      <alignment horizontal="center" vertical="center" wrapText="1"/>
    </xf>
    <xf numFmtId="2" fontId="16" fillId="0" borderId="15" xfId="7" applyNumberFormat="1" applyBorder="1" applyAlignment="1">
      <alignment horizontal="right" vertical="center" wrapText="1"/>
    </xf>
    <xf numFmtId="2" fontId="16" fillId="0" borderId="0" xfId="7" applyNumberFormat="1" applyBorder="1" applyAlignment="1">
      <alignment horizontal="right" vertical="center" wrapText="1"/>
    </xf>
    <xf numFmtId="0" fontId="16" fillId="0" borderId="12" xfId="7" applyBorder="1" applyAlignment="1">
      <alignment horizontal="center" vertical="center" wrapText="1"/>
    </xf>
    <xf numFmtId="2" fontId="16" fillId="0" borderId="16" xfId="7" applyNumberFormat="1" applyBorder="1" applyAlignment="1">
      <alignment horizontal="right" vertical="center" wrapText="1"/>
    </xf>
    <xf numFmtId="0" fontId="16" fillId="0" borderId="12" xfId="7" applyBorder="1" applyAlignment="1">
      <alignment horizontal="left" vertical="center" wrapText="1"/>
    </xf>
    <xf numFmtId="0" fontId="16" fillId="0" borderId="12" xfId="7" applyBorder="1" applyAlignment="1">
      <alignment vertical="center" wrapText="1"/>
    </xf>
    <xf numFmtId="14" fontId="16" fillId="0" borderId="17" xfId="7" applyNumberFormat="1" applyBorder="1" applyAlignment="1">
      <alignment horizontal="center" vertical="center" wrapText="1"/>
    </xf>
    <xf numFmtId="2" fontId="16" fillId="0" borderId="18" xfId="7" applyNumberFormat="1" applyBorder="1" applyAlignment="1">
      <alignment horizontal="right" vertical="center" wrapText="1"/>
    </xf>
    <xf numFmtId="0" fontId="16" fillId="0" borderId="17" xfId="7" applyBorder="1" applyAlignment="1">
      <alignment horizontal="left" vertical="center" wrapText="1"/>
    </xf>
    <xf numFmtId="14" fontId="16" fillId="0" borderId="12" xfId="7" applyNumberFormat="1" applyBorder="1" applyAlignment="1">
      <alignment horizontal="center" vertical="center" wrapText="1"/>
    </xf>
    <xf numFmtId="14" fontId="16" fillId="0" borderId="5" xfId="7" applyNumberFormat="1" applyBorder="1" applyAlignment="1">
      <alignment horizontal="center" vertical="center" wrapText="1"/>
    </xf>
    <xf numFmtId="2" fontId="16" fillId="0" borderId="19" xfId="7" applyNumberFormat="1" applyBorder="1" applyAlignment="1">
      <alignment horizontal="right" vertical="center" wrapText="1"/>
    </xf>
    <xf numFmtId="0" fontId="16" fillId="0" borderId="5" xfId="7" applyBorder="1" applyAlignment="1">
      <alignment horizontal="left" vertical="center" wrapText="1"/>
    </xf>
    <xf numFmtId="14" fontId="16" fillId="0" borderId="13" xfId="7" applyNumberFormat="1" applyBorder="1" applyAlignment="1">
      <alignment horizontal="center" vertical="center" wrapText="1"/>
    </xf>
    <xf numFmtId="2" fontId="16" fillId="0" borderId="20" xfId="7" applyNumberFormat="1" applyBorder="1" applyAlignment="1">
      <alignment horizontal="right" vertical="center" wrapText="1"/>
    </xf>
    <xf numFmtId="0" fontId="16" fillId="0" borderId="13" xfId="7" applyBorder="1" applyAlignment="1">
      <alignment horizontal="left" vertical="center" wrapText="1"/>
    </xf>
    <xf numFmtId="0" fontId="16" fillId="0" borderId="13" xfId="7" applyBorder="1" applyAlignment="1">
      <alignment vertical="center" wrapText="1"/>
    </xf>
    <xf numFmtId="0" fontId="16" fillId="0" borderId="13" xfId="7" applyBorder="1" applyAlignment="1">
      <alignment horizontal="center" vertical="center" wrapText="1"/>
    </xf>
    <xf numFmtId="0" fontId="16" fillId="0" borderId="0" xfId="7" applyAlignment="1">
      <alignment horizontal="right" vertical="center" wrapText="1"/>
    </xf>
    <xf numFmtId="0" fontId="16" fillId="0" borderId="13" xfId="7" applyBorder="1" applyAlignment="1">
      <alignment horizontal="right" vertical="center" wrapText="1"/>
    </xf>
    <xf numFmtId="0" fontId="16" fillId="0" borderId="20" xfId="7" applyBorder="1" applyAlignment="1">
      <alignment horizontal="right" vertical="center" wrapText="1"/>
    </xf>
    <xf numFmtId="14" fontId="16" fillId="0" borderId="13" xfId="7" applyNumberFormat="1" applyBorder="1" applyAlignment="1">
      <alignment horizontal="right" vertical="center" wrapText="1"/>
    </xf>
    <xf numFmtId="2" fontId="16" fillId="0" borderId="5" xfId="7" applyNumberFormat="1" applyBorder="1" applyAlignment="1">
      <alignment horizontal="right" vertical="center" wrapText="1"/>
    </xf>
    <xf numFmtId="0" fontId="16" fillId="0" borderId="5" xfId="7" applyBorder="1" applyAlignment="1">
      <alignment horizontal="right" vertical="center" wrapText="1"/>
    </xf>
    <xf numFmtId="2" fontId="16" fillId="0" borderId="12" xfId="7" applyNumberFormat="1" applyBorder="1" applyAlignment="1">
      <alignment horizontal="right" vertical="center" wrapText="1"/>
    </xf>
    <xf numFmtId="0" fontId="16" fillId="0" borderId="12" xfId="7" applyBorder="1" applyAlignment="1">
      <alignment horizontal="right" vertical="center" wrapText="1"/>
    </xf>
    <xf numFmtId="0" fontId="16" fillId="0" borderId="5" xfId="7" applyBorder="1" applyAlignment="1">
      <alignment horizontal="center" vertical="center" wrapText="1"/>
    </xf>
    <xf numFmtId="2" fontId="16" fillId="0" borderId="17" xfId="7" applyNumberFormat="1" applyBorder="1" applyAlignment="1">
      <alignment horizontal="right" vertical="center" wrapText="1"/>
    </xf>
    <xf numFmtId="0" fontId="16" fillId="0" borderId="17" xfId="7" applyBorder="1" applyAlignment="1">
      <alignment horizontal="right" vertical="center" wrapText="1"/>
    </xf>
    <xf numFmtId="14" fontId="16" fillId="0" borderId="21" xfId="7" applyNumberFormat="1" applyBorder="1" applyAlignment="1">
      <alignment horizontal="right" vertical="center" wrapText="1"/>
    </xf>
    <xf numFmtId="2" fontId="16" fillId="0" borderId="21" xfId="7" applyNumberFormat="1" applyBorder="1" applyAlignment="1">
      <alignment horizontal="right" vertical="center" wrapText="1"/>
    </xf>
    <xf numFmtId="0" fontId="16" fillId="0" borderId="21" xfId="7" applyBorder="1" applyAlignment="1">
      <alignment horizontal="right" vertical="center" wrapText="1"/>
    </xf>
    <xf numFmtId="0" fontId="16" fillId="0" borderId="21" xfId="7" applyBorder="1" applyAlignment="1">
      <alignment horizontal="left" vertical="center" wrapText="1"/>
    </xf>
    <xf numFmtId="0" fontId="16" fillId="0" borderId="21" xfId="7" applyBorder="1" applyAlignment="1">
      <alignment vertical="center" wrapText="1"/>
    </xf>
    <xf numFmtId="0" fontId="16" fillId="0" borderId="21" xfId="7" applyBorder="1" applyAlignment="1">
      <alignment horizontal="center" vertical="center" wrapText="1"/>
    </xf>
    <xf numFmtId="0" fontId="16" fillId="0" borderId="17" xfId="7" applyBorder="1" applyAlignment="1">
      <alignment vertical="center" wrapText="1"/>
    </xf>
    <xf numFmtId="2" fontId="16" fillId="0" borderId="13" xfId="7" applyNumberFormat="1" applyBorder="1" applyAlignment="1">
      <alignment horizontal="right" vertical="center" wrapText="1"/>
    </xf>
    <xf numFmtId="0" fontId="16" fillId="0" borderId="22" xfId="7" applyBorder="1" applyAlignment="1">
      <alignment horizontal="center" vertical="center" wrapText="1"/>
    </xf>
    <xf numFmtId="0" fontId="16" fillId="2" borderId="21" xfId="7" applyFill="1" applyBorder="1" applyAlignment="1">
      <alignment horizontal="right" vertical="center" wrapText="1"/>
    </xf>
    <xf numFmtId="14" fontId="16" fillId="0" borderId="21" xfId="7" applyNumberFormat="1" applyBorder="1" applyAlignment="1">
      <alignment horizontal="center" vertical="center" wrapText="1"/>
    </xf>
    <xf numFmtId="0" fontId="16" fillId="0" borderId="10" xfId="7" applyBorder="1" applyAlignment="1">
      <alignment horizontal="left" vertical="center" wrapText="1"/>
    </xf>
    <xf numFmtId="0" fontId="16" fillId="0" borderId="0" xfId="7" applyAlignment="1">
      <alignment horizontal="left" vertical="center" wrapText="1"/>
    </xf>
    <xf numFmtId="0" fontId="16" fillId="0" borderId="14" xfId="7" applyBorder="1" applyAlignment="1">
      <alignment horizontal="left" vertical="center" wrapText="1"/>
    </xf>
    <xf numFmtId="0" fontId="16" fillId="0" borderId="10" xfId="7" applyBorder="1" applyAlignment="1">
      <alignment horizontal="right" vertical="center" wrapText="1"/>
    </xf>
    <xf numFmtId="2" fontId="16" fillId="0" borderId="10" xfId="7" applyNumberFormat="1" applyBorder="1" applyAlignment="1">
      <alignment horizontal="right" vertical="center" wrapText="1"/>
    </xf>
    <xf numFmtId="0" fontId="16" fillId="0" borderId="0" xfId="7" applyBorder="1" applyAlignment="1">
      <alignment horizontal="right" vertical="center" wrapText="1"/>
    </xf>
    <xf numFmtId="0" fontId="16" fillId="0" borderId="0" xfId="7" applyBorder="1" applyAlignment="1">
      <alignment horizontal="left" vertical="center" wrapText="1"/>
    </xf>
    <xf numFmtId="0" fontId="16" fillId="0" borderId="0" xfId="7" applyBorder="1" applyAlignment="1">
      <alignment vertical="center" wrapText="1"/>
    </xf>
    <xf numFmtId="0" fontId="18" fillId="0" borderId="10" xfId="7" applyFont="1" applyBorder="1" applyAlignment="1">
      <alignment horizontal="right" vertical="center" wrapText="1"/>
    </xf>
    <xf numFmtId="2" fontId="18" fillId="0" borderId="10" xfId="7" applyNumberFormat="1" applyFont="1" applyBorder="1" applyAlignment="1">
      <alignment horizontal="right" vertical="center" wrapText="1"/>
    </xf>
    <xf numFmtId="0" fontId="16" fillId="0" borderId="14" xfId="7" applyBorder="1" applyAlignment="1">
      <alignment vertical="center" wrapText="1"/>
    </xf>
    <xf numFmtId="2" fontId="16" fillId="0" borderId="11" xfId="7" applyNumberFormat="1" applyBorder="1" applyAlignment="1">
      <alignment horizontal="center" vertical="center" wrapText="1"/>
    </xf>
    <xf numFmtId="2" fontId="19" fillId="0" borderId="11" xfId="7" applyNumberFormat="1" applyFont="1" applyBorder="1" applyAlignment="1">
      <alignment horizontal="right" vertical="center" wrapText="1"/>
    </xf>
    <xf numFmtId="2" fontId="16" fillId="0" borderId="11" xfId="7" applyNumberFormat="1" applyBorder="1" applyAlignment="1">
      <alignment horizontal="left" vertical="center" wrapText="1"/>
    </xf>
    <xf numFmtId="2" fontId="16" fillId="5" borderId="10" xfId="7" applyNumberFormat="1" applyFill="1" applyBorder="1" applyAlignment="1">
      <alignment horizontal="right" vertical="center" wrapText="1"/>
    </xf>
    <xf numFmtId="2" fontId="16" fillId="5" borderId="10" xfId="7" applyNumberFormat="1" applyFill="1" applyBorder="1" applyAlignment="1">
      <alignment horizontal="left" vertical="center" wrapText="1"/>
    </xf>
    <xf numFmtId="2" fontId="19" fillId="5" borderId="10" xfId="7" applyNumberFormat="1" applyFont="1" applyFill="1" applyBorder="1" applyAlignment="1">
      <alignment horizontal="right" vertical="center" wrapText="1"/>
    </xf>
    <xf numFmtId="0" fontId="16" fillId="5" borderId="10" xfId="7" applyFill="1" applyBorder="1" applyAlignment="1">
      <alignment horizontal="left" vertical="center" wrapText="1"/>
    </xf>
    <xf numFmtId="0" fontId="16" fillId="5" borderId="10" xfId="7" applyFill="1" applyBorder="1" applyAlignment="1">
      <alignment vertical="center" wrapText="1"/>
    </xf>
    <xf numFmtId="0" fontId="16" fillId="5" borderId="10" xfId="7" applyFill="1" applyBorder="1" applyAlignment="1">
      <alignment horizontal="center" vertical="center" wrapText="1"/>
    </xf>
    <xf numFmtId="2" fontId="19" fillId="0" borderId="23" xfId="7" applyNumberFormat="1" applyFont="1" applyBorder="1" applyAlignment="1">
      <alignment horizontal="right" vertical="center" wrapText="1"/>
    </xf>
    <xf numFmtId="14" fontId="16" fillId="0" borderId="24" xfId="7" applyNumberFormat="1" applyBorder="1" applyAlignment="1">
      <alignment vertical="center" wrapText="1"/>
    </xf>
    <xf numFmtId="14" fontId="16" fillId="0" borderId="14" xfId="7" applyNumberFormat="1" applyBorder="1" applyAlignment="1">
      <alignment horizontal="left" vertical="center" wrapText="1"/>
    </xf>
    <xf numFmtId="14" fontId="16" fillId="0" borderId="17" xfId="7" applyNumberFormat="1" applyBorder="1" applyAlignment="1">
      <alignment vertical="center" wrapText="1"/>
    </xf>
    <xf numFmtId="14" fontId="16" fillId="0" borderId="26" xfId="7" applyNumberFormat="1" applyBorder="1" applyAlignment="1">
      <alignment vertical="center" wrapText="1"/>
    </xf>
    <xf numFmtId="14" fontId="16" fillId="0" borderId="11" xfId="7" applyNumberFormat="1" applyBorder="1" applyAlignment="1">
      <alignment vertical="center" wrapText="1"/>
    </xf>
    <xf numFmtId="0" fontId="16" fillId="0" borderId="23" xfId="7" applyBorder="1" applyAlignment="1">
      <alignment horizontal="right" vertical="center" wrapText="1"/>
    </xf>
    <xf numFmtId="14" fontId="16" fillId="0" borderId="26" xfId="7" applyNumberFormat="1" applyBorder="1" applyAlignment="1">
      <alignment horizontal="right" vertical="center" wrapText="1"/>
    </xf>
    <xf numFmtId="14" fontId="16" fillId="0" borderId="11" xfId="7" applyNumberFormat="1" applyBorder="1" applyAlignment="1">
      <alignment horizontal="right" vertical="center" wrapText="1"/>
    </xf>
    <xf numFmtId="14" fontId="16" fillId="0" borderId="28" xfId="7" applyNumberFormat="1" applyBorder="1" applyAlignment="1">
      <alignment horizontal="right" vertical="center" wrapText="1"/>
    </xf>
    <xf numFmtId="14" fontId="16" fillId="0" borderId="29" xfId="7" applyNumberFormat="1" applyBorder="1" applyAlignment="1">
      <alignment horizontal="left" vertical="center" wrapText="1"/>
    </xf>
    <xf numFmtId="14" fontId="16" fillId="0" borderId="29" xfId="7" applyNumberFormat="1" applyBorder="1" applyAlignment="1">
      <alignment horizontal="right" vertical="center" wrapText="1"/>
    </xf>
    <xf numFmtId="2" fontId="18" fillId="0" borderId="29" xfId="7" applyNumberFormat="1" applyFont="1" applyBorder="1" applyAlignment="1">
      <alignment horizontal="right" vertical="center" wrapText="1"/>
    </xf>
    <xf numFmtId="0" fontId="16" fillId="0" borderId="29" xfId="7" applyBorder="1" applyAlignment="1">
      <alignment horizontal="left" vertical="center" wrapText="1"/>
    </xf>
    <xf numFmtId="14" fontId="16" fillId="0" borderId="31" xfId="7" applyNumberFormat="1" applyBorder="1" applyAlignment="1">
      <alignment horizontal="right" vertical="center" wrapText="1"/>
    </xf>
    <xf numFmtId="14" fontId="16" fillId="0" borderId="21" xfId="7" applyNumberFormat="1" applyBorder="1" applyAlignment="1">
      <alignment horizontal="left" vertical="center" wrapText="1"/>
    </xf>
    <xf numFmtId="0" fontId="16" fillId="0" borderId="32" xfId="7" applyBorder="1" applyAlignment="1">
      <alignment horizontal="center" vertical="center" wrapText="1"/>
    </xf>
    <xf numFmtId="14" fontId="16" fillId="0" borderId="13" xfId="7" applyNumberFormat="1" applyBorder="1" applyAlignment="1">
      <alignment horizontal="left" vertical="center" wrapText="1"/>
    </xf>
    <xf numFmtId="0" fontId="16" fillId="0" borderId="29" xfId="7" applyBorder="1" applyAlignment="1">
      <alignment horizontal="right" vertical="center" wrapText="1"/>
    </xf>
    <xf numFmtId="0" fontId="16" fillId="0" borderId="30" xfId="7" applyBorder="1" applyAlignment="1">
      <alignment horizontal="center" vertical="center" wrapText="1"/>
    </xf>
    <xf numFmtId="14" fontId="16" fillId="0" borderId="31" xfId="7" applyNumberFormat="1" applyBorder="1" applyAlignment="1">
      <alignment horizontal="center" vertical="center" wrapText="1"/>
    </xf>
    <xf numFmtId="2" fontId="16" fillId="0" borderId="29" xfId="7" applyNumberFormat="1" applyBorder="1" applyAlignment="1">
      <alignment horizontal="right" vertical="center" wrapText="1"/>
    </xf>
    <xf numFmtId="14" fontId="16" fillId="0" borderId="17" xfId="7" applyNumberFormat="1" applyBorder="1" applyAlignment="1">
      <alignment horizontal="left" vertical="center" wrapText="1"/>
    </xf>
    <xf numFmtId="0" fontId="16" fillId="0" borderId="17" xfId="7" applyBorder="1" applyAlignment="1">
      <alignment horizontal="left" vertical="center"/>
    </xf>
    <xf numFmtId="14" fontId="16" fillId="0" borderId="10" xfId="7" applyNumberFormat="1" applyBorder="1" applyAlignment="1">
      <alignment horizontal="left" vertical="center"/>
    </xf>
    <xf numFmtId="14" fontId="16" fillId="0" borderId="13" xfId="7" applyNumberFormat="1" applyBorder="1" applyAlignment="1">
      <alignment horizontal="left" vertical="center"/>
    </xf>
    <xf numFmtId="14" fontId="16" fillId="0" borderId="14" xfId="7" applyNumberFormat="1" applyBorder="1" applyAlignment="1">
      <alignment horizontal="left" vertical="center"/>
    </xf>
    <xf numFmtId="0" fontId="16" fillId="0" borderId="1" xfId="7" applyBorder="1" applyAlignment="1">
      <alignment horizontal="right" vertical="center" wrapText="1"/>
    </xf>
    <xf numFmtId="2" fontId="16" fillId="0" borderId="1" xfId="7" applyNumberFormat="1" applyBorder="1" applyAlignment="1">
      <alignment horizontal="right" vertical="center" wrapText="1"/>
    </xf>
    <xf numFmtId="2" fontId="18" fillId="0" borderId="13" xfId="7" applyNumberFormat="1" applyFont="1" applyBorder="1" applyAlignment="1">
      <alignment horizontal="right" vertical="center" wrapText="1"/>
    </xf>
    <xf numFmtId="14" fontId="16" fillId="0" borderId="37" xfId="7" applyNumberFormat="1" applyBorder="1" applyAlignment="1">
      <alignment horizontal="center" vertical="center" wrapText="1"/>
    </xf>
    <xf numFmtId="0" fontId="16" fillId="0" borderId="38" xfId="7" applyBorder="1" applyAlignment="1">
      <alignment horizontal="center" vertical="center" wrapText="1"/>
    </xf>
    <xf numFmtId="14" fontId="16" fillId="0" borderId="28" xfId="7" applyNumberFormat="1" applyBorder="1" applyAlignment="1">
      <alignment horizontal="center" vertical="center" wrapText="1"/>
    </xf>
    <xf numFmtId="0" fontId="16" fillId="0" borderId="39" xfId="7" applyBorder="1" applyAlignment="1">
      <alignment horizontal="center" vertical="center" wrapText="1"/>
    </xf>
    <xf numFmtId="14" fontId="16" fillId="0" borderId="40" xfId="7" applyNumberFormat="1" applyBorder="1" applyAlignment="1">
      <alignment horizontal="left" vertical="center" wrapText="1"/>
    </xf>
    <xf numFmtId="2" fontId="16" fillId="0" borderId="41" xfId="7" applyNumberFormat="1" applyBorder="1" applyAlignment="1">
      <alignment horizontal="right" vertical="center" wrapText="1"/>
    </xf>
    <xf numFmtId="2" fontId="16" fillId="0" borderId="1" xfId="7" applyNumberFormat="1" applyBorder="1" applyAlignment="1">
      <alignment horizontal="left" vertical="center" wrapText="1"/>
    </xf>
    <xf numFmtId="14" fontId="16" fillId="0" borderId="42" xfId="7" applyNumberFormat="1" applyBorder="1" applyAlignment="1">
      <alignment horizontal="left" vertical="center" wrapText="1"/>
    </xf>
    <xf numFmtId="14" fontId="20" fillId="0" borderId="31" xfId="7" applyNumberFormat="1" applyFont="1" applyBorder="1" applyAlignment="1">
      <alignment horizontal="center" vertical="center" wrapText="1"/>
    </xf>
    <xf numFmtId="14" fontId="20" fillId="0" borderId="21" xfId="7" applyNumberFormat="1" applyFont="1" applyBorder="1" applyAlignment="1">
      <alignment horizontal="left" vertical="center" wrapText="1"/>
    </xf>
    <xf numFmtId="2" fontId="20" fillId="0" borderId="21" xfId="7" applyNumberFormat="1" applyFont="1" applyBorder="1" applyAlignment="1">
      <alignment horizontal="right" vertical="center" wrapText="1"/>
    </xf>
    <xf numFmtId="0" fontId="20" fillId="0" borderId="21" xfId="7" applyFont="1" applyBorder="1" applyAlignment="1">
      <alignment horizontal="right" vertical="center" wrapText="1"/>
    </xf>
    <xf numFmtId="0" fontId="20" fillId="0" borderId="21" xfId="7" applyFont="1" applyBorder="1" applyAlignment="1">
      <alignment horizontal="left" vertical="center" wrapText="1"/>
    </xf>
    <xf numFmtId="0" fontId="20" fillId="0" borderId="21" xfId="7" applyFont="1" applyBorder="1" applyAlignment="1">
      <alignment vertical="center" wrapText="1"/>
    </xf>
    <xf numFmtId="0" fontId="20" fillId="0" borderId="32" xfId="7" applyFont="1" applyBorder="1" applyAlignment="1">
      <alignment horizontal="center" vertical="center" wrapText="1"/>
    </xf>
    <xf numFmtId="14" fontId="16" fillId="0" borderId="24" xfId="7" applyNumberFormat="1" applyBorder="1" applyAlignment="1">
      <alignment horizontal="center" vertical="center" wrapText="1"/>
    </xf>
    <xf numFmtId="0" fontId="16" fillId="0" borderId="36" xfId="7" applyBorder="1" applyAlignment="1">
      <alignment horizontal="center" vertical="center" wrapText="1"/>
    </xf>
    <xf numFmtId="0" fontId="16" fillId="0" borderId="1" xfId="7" applyBorder="1" applyAlignment="1">
      <alignment vertical="center" wrapText="1"/>
    </xf>
    <xf numFmtId="0" fontId="16" fillId="0" borderId="22" xfId="7" applyBorder="1" applyAlignment="1">
      <alignment vertical="center" wrapText="1"/>
    </xf>
    <xf numFmtId="0" fontId="19" fillId="0" borderId="0" xfId="7" applyFont="1" applyAlignment="1">
      <alignment horizontal="right" vertical="center" wrapText="1"/>
    </xf>
    <xf numFmtId="2" fontId="19" fillId="0" borderId="1" xfId="7" applyNumberFormat="1" applyFont="1" applyBorder="1" applyAlignment="1">
      <alignment horizontal="right" vertical="center" wrapText="1"/>
    </xf>
    <xf numFmtId="0" fontId="19" fillId="0" borderId="1" xfId="7" applyFont="1" applyBorder="1" applyAlignment="1">
      <alignment horizontal="right" vertical="center" wrapText="1"/>
    </xf>
    <xf numFmtId="0" fontId="19" fillId="0" borderId="1" xfId="7" applyFont="1" applyBorder="1" applyAlignment="1">
      <alignment horizontal="left" vertical="center" wrapText="1"/>
    </xf>
    <xf numFmtId="0" fontId="19" fillId="0" borderId="0" xfId="7" applyFont="1" applyAlignment="1">
      <alignment vertical="center" wrapText="1"/>
    </xf>
    <xf numFmtId="0" fontId="16" fillId="6" borderId="0" xfId="7" applyFill="1" applyAlignment="1">
      <alignment horizontal="right" vertical="center" wrapText="1"/>
    </xf>
    <xf numFmtId="14" fontId="16" fillId="6" borderId="4" xfId="7" applyNumberFormat="1" applyFill="1" applyBorder="1" applyAlignment="1">
      <alignment horizontal="center" vertical="center" wrapText="1"/>
    </xf>
    <xf numFmtId="14" fontId="16" fillId="6" borderId="4" xfId="7" applyNumberFormat="1" applyFill="1" applyBorder="1" applyAlignment="1">
      <alignment horizontal="left" vertical="center" wrapText="1"/>
    </xf>
    <xf numFmtId="2" fontId="16" fillId="6" borderId="4" xfId="7" applyNumberFormat="1" applyFill="1" applyBorder="1" applyAlignment="1">
      <alignment horizontal="right" vertical="center" wrapText="1"/>
    </xf>
    <xf numFmtId="0" fontId="16" fillId="6" borderId="4" xfId="7" applyFill="1" applyBorder="1" applyAlignment="1">
      <alignment horizontal="right" vertical="center" wrapText="1"/>
    </xf>
    <xf numFmtId="0" fontId="16" fillId="6" borderId="4" xfId="7" applyFill="1" applyBorder="1" applyAlignment="1">
      <alignment horizontal="left" vertical="center" wrapText="1"/>
    </xf>
    <xf numFmtId="0" fontId="16" fillId="6" borderId="4" xfId="7" applyFill="1" applyBorder="1" applyAlignment="1">
      <alignment horizontal="center" vertical="center" wrapText="1"/>
    </xf>
    <xf numFmtId="0" fontId="16" fillId="6" borderId="0" xfId="7" applyFill="1" applyAlignment="1">
      <alignment vertical="center" wrapText="1"/>
    </xf>
    <xf numFmtId="14" fontId="19" fillId="0" borderId="31" xfId="7" applyNumberFormat="1" applyFont="1" applyBorder="1" applyAlignment="1">
      <alignment horizontal="center" vertical="center" wrapText="1"/>
    </xf>
    <xf numFmtId="14" fontId="19" fillId="0" borderId="21" xfId="7" applyNumberFormat="1" applyFont="1" applyBorder="1" applyAlignment="1">
      <alignment horizontal="left" vertical="center" wrapText="1"/>
    </xf>
    <xf numFmtId="2" fontId="19" fillId="0" borderId="21" xfId="7" applyNumberFormat="1" applyFont="1" applyBorder="1" applyAlignment="1">
      <alignment horizontal="right" vertical="center" wrapText="1"/>
    </xf>
    <xf numFmtId="0" fontId="19" fillId="0" borderId="21" xfId="7" applyFont="1" applyBorder="1" applyAlignment="1">
      <alignment horizontal="right" vertical="center" wrapText="1"/>
    </xf>
    <xf numFmtId="0" fontId="19" fillId="0" borderId="21" xfId="7" applyFont="1" applyBorder="1" applyAlignment="1">
      <alignment horizontal="left" vertical="center" wrapText="1"/>
    </xf>
    <xf numFmtId="0" fontId="19" fillId="0" borderId="32" xfId="7" applyFont="1" applyBorder="1" applyAlignment="1">
      <alignment horizontal="center" vertical="center" wrapText="1"/>
    </xf>
    <xf numFmtId="0" fontId="16" fillId="0" borderId="36" xfId="7" applyBorder="1" applyAlignment="1">
      <alignment horizontal="center" vertical="center"/>
    </xf>
    <xf numFmtId="0" fontId="16" fillId="0" borderId="38" xfId="7" applyBorder="1" applyAlignment="1">
      <alignment horizontal="center" vertical="center"/>
    </xf>
    <xf numFmtId="0" fontId="16" fillId="0" borderId="39" xfId="7" applyBorder="1" applyAlignment="1">
      <alignment horizontal="center" vertical="center"/>
    </xf>
    <xf numFmtId="2" fontId="16" fillId="0" borderId="17" xfId="7" applyNumberFormat="1" applyBorder="1"/>
    <xf numFmtId="0" fontId="16" fillId="0" borderId="17" xfId="7" applyBorder="1"/>
    <xf numFmtId="2" fontId="16" fillId="0" borderId="1" xfId="7" applyNumberFormat="1" applyBorder="1"/>
    <xf numFmtId="0" fontId="16" fillId="0" borderId="1" xfId="7" applyBorder="1"/>
    <xf numFmtId="0" fontId="16" fillId="0" borderId="1" xfId="7" applyBorder="1" applyAlignment="1">
      <alignment wrapText="1"/>
    </xf>
    <xf numFmtId="2" fontId="16" fillId="0" borderId="10" xfId="7" applyNumberFormat="1" applyBorder="1"/>
    <xf numFmtId="0" fontId="16" fillId="0" borderId="10" xfId="7" applyBorder="1"/>
    <xf numFmtId="14" fontId="16" fillId="0" borderId="5" xfId="7" applyNumberFormat="1" applyBorder="1" applyAlignment="1">
      <alignment horizontal="left" vertical="center" wrapText="1"/>
    </xf>
    <xf numFmtId="0" fontId="16" fillId="5" borderId="5" xfId="7" applyFill="1" applyBorder="1" applyAlignment="1">
      <alignment horizontal="center" vertical="center" wrapText="1"/>
    </xf>
    <xf numFmtId="0" fontId="16" fillId="5" borderId="5" xfId="7" applyFill="1" applyBorder="1" applyAlignment="1">
      <alignment horizontal="left" vertical="center" wrapText="1"/>
    </xf>
    <xf numFmtId="2" fontId="16" fillId="5" borderId="5" xfId="7" applyNumberFormat="1" applyFill="1" applyBorder="1" applyAlignment="1">
      <alignment horizontal="right" vertical="center" wrapText="1"/>
    </xf>
    <xf numFmtId="0" fontId="16" fillId="5" borderId="5" xfId="7" applyFill="1" applyBorder="1" applyAlignment="1">
      <alignment horizontal="right" vertical="center" wrapText="1"/>
    </xf>
    <xf numFmtId="2" fontId="18" fillId="5" borderId="5" xfId="7" applyNumberFormat="1" applyFont="1" applyFill="1" applyBorder="1" applyAlignment="1">
      <alignment horizontal="right" vertical="center" wrapText="1"/>
    </xf>
    <xf numFmtId="0" fontId="16" fillId="5" borderId="5" xfId="7" applyFill="1" applyBorder="1" applyAlignment="1">
      <alignment vertical="center" wrapText="1"/>
    </xf>
    <xf numFmtId="0" fontId="21" fillId="2" borderId="1" xfId="7" applyFont="1" applyFill="1" applyBorder="1" applyAlignment="1">
      <alignment horizontal="right" vertical="center" wrapText="1"/>
    </xf>
    <xf numFmtId="2" fontId="21" fillId="2" borderId="5" xfId="7" applyNumberFormat="1" applyFont="1" applyFill="1" applyBorder="1" applyAlignment="1">
      <alignment horizontal="right" vertical="center" wrapText="1"/>
    </xf>
    <xf numFmtId="14" fontId="16" fillId="0" borderId="4" xfId="7" applyNumberFormat="1" applyBorder="1" applyAlignment="1">
      <alignment horizontal="left" vertical="center" wrapText="1"/>
    </xf>
    <xf numFmtId="2" fontId="19" fillId="0" borderId="5" xfId="7" applyNumberFormat="1" applyFont="1" applyBorder="1" applyAlignment="1">
      <alignment horizontal="right" vertical="center" wrapText="1"/>
    </xf>
    <xf numFmtId="0" fontId="16" fillId="0" borderId="5" xfId="7" applyBorder="1"/>
    <xf numFmtId="0" fontId="16" fillId="0" borderId="4" xfId="7" applyBorder="1" applyAlignment="1">
      <alignment horizontal="left" vertical="center" wrapText="1"/>
    </xf>
    <xf numFmtId="14" fontId="16" fillId="0" borderId="4" xfId="7" applyNumberFormat="1" applyBorder="1" applyAlignment="1">
      <alignment horizontal="left" vertical="center"/>
    </xf>
    <xf numFmtId="2" fontId="16" fillId="0" borderId="14" xfId="7" applyNumberFormat="1" applyBorder="1" applyAlignment="1">
      <alignment horizontal="right" vertical="center" wrapText="1"/>
    </xf>
    <xf numFmtId="0" fontId="16" fillId="0" borderId="14" xfId="7" applyBorder="1" applyAlignment="1">
      <alignment horizontal="right" vertical="center" wrapText="1"/>
    </xf>
    <xf numFmtId="14" fontId="16" fillId="0" borderId="5" xfId="7" applyNumberFormat="1" applyBorder="1" applyAlignment="1">
      <alignment horizontal="right" vertical="center" wrapText="1"/>
    </xf>
    <xf numFmtId="2" fontId="16" fillId="0" borderId="0" xfId="7" applyNumberFormat="1" applyAlignment="1">
      <alignment horizontal="right" vertical="center" wrapText="1"/>
    </xf>
    <xf numFmtId="0" fontId="16" fillId="0" borderId="0" xfId="7" applyAlignment="1">
      <alignment horizontal="center" vertical="center" wrapText="1"/>
    </xf>
    <xf numFmtId="14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18" fillId="0" borderId="0" xfId="7" applyNumberFormat="1" applyFont="1" applyAlignment="1">
      <alignment horizontal="right" vertical="center" wrapText="1"/>
    </xf>
    <xf numFmtId="2" fontId="19" fillId="0" borderId="1" xfId="7" applyNumberFormat="1" applyFont="1" applyBorder="1" applyAlignment="1">
      <alignment horizontal="center" vertical="center" wrapText="1"/>
    </xf>
    <xf numFmtId="14" fontId="16" fillId="0" borderId="37" xfId="7" applyNumberFormat="1" applyBorder="1" applyAlignment="1">
      <alignment vertical="center" wrapText="1"/>
    </xf>
    <xf numFmtId="14" fontId="16" fillId="0" borderId="1" xfId="7" applyNumberFormat="1" applyBorder="1" applyAlignment="1">
      <alignment vertical="center" wrapText="1"/>
    </xf>
    <xf numFmtId="14" fontId="16" fillId="0" borderId="37" xfId="7" applyNumberFormat="1" applyBorder="1" applyAlignment="1">
      <alignment horizontal="right" vertical="center" wrapText="1"/>
    </xf>
    <xf numFmtId="14" fontId="16" fillId="0" borderId="1" xfId="7" applyNumberFormat="1" applyBorder="1" applyAlignment="1">
      <alignment horizontal="right" vertical="center" wrapText="1"/>
    </xf>
    <xf numFmtId="2" fontId="19" fillId="0" borderId="17" xfId="7" applyNumberFormat="1" applyFont="1" applyBorder="1" applyAlignment="1">
      <alignment horizontal="right" vertical="center" wrapText="1"/>
    </xf>
    <xf numFmtId="2" fontId="19" fillId="0" borderId="10" xfId="7" applyNumberFormat="1" applyFont="1" applyBorder="1" applyAlignment="1">
      <alignment horizontal="right" vertical="center" wrapText="1"/>
    </xf>
    <xf numFmtId="2" fontId="19" fillId="0" borderId="17" xfId="7" applyNumberFormat="1" applyFont="1" applyBorder="1"/>
    <xf numFmtId="2" fontId="19" fillId="0" borderId="1" xfId="7" applyNumberFormat="1" applyFont="1" applyBorder="1"/>
    <xf numFmtId="2" fontId="19" fillId="0" borderId="10" xfId="7" applyNumberFormat="1" applyFont="1" applyBorder="1"/>
    <xf numFmtId="2" fontId="19" fillId="0" borderId="0" xfId="7" applyNumberFormat="1" applyFont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7" applyNumberFormat="1" applyFont="1" applyBorder="1" applyAlignment="1">
      <alignment horizontal="center" vertical="center" wrapText="1"/>
    </xf>
    <xf numFmtId="0" fontId="22" fillId="0" borderId="1" xfId="7" applyNumberFormat="1" applyFont="1" applyFill="1" applyBorder="1" applyAlignment="1">
      <alignment horizontal="center" vertical="center" wrapText="1"/>
    </xf>
    <xf numFmtId="0" fontId="22" fillId="0" borderId="0" xfId="7" applyFont="1" applyAlignment="1">
      <alignment vertical="center" wrapText="1"/>
    </xf>
    <xf numFmtId="2" fontId="22" fillId="0" borderId="1" xfId="7" applyNumberFormat="1" applyFont="1" applyBorder="1" applyAlignment="1">
      <alignment horizontal="right" vertical="center" wrapText="1"/>
    </xf>
    <xf numFmtId="0" fontId="22" fillId="0" borderId="1" xfId="7" applyNumberFormat="1" applyFont="1" applyBorder="1" applyAlignment="1">
      <alignment horizontal="right" vertical="center" wrapText="1"/>
    </xf>
    <xf numFmtId="0" fontId="22" fillId="0" borderId="1" xfId="7" applyNumberFormat="1" applyFont="1" applyBorder="1" applyAlignment="1">
      <alignment horizontal="left" vertical="center" wrapText="1"/>
    </xf>
    <xf numFmtId="0" fontId="22" fillId="0" borderId="44" xfId="7" applyNumberFormat="1" applyFont="1" applyBorder="1" applyAlignment="1">
      <alignment horizontal="center" vertical="center" wrapText="1"/>
    </xf>
    <xf numFmtId="0" fontId="22" fillId="0" borderId="5" xfId="7" applyNumberFormat="1" applyFont="1" applyBorder="1" applyAlignment="1">
      <alignment horizontal="center" vertical="center" wrapText="1"/>
    </xf>
    <xf numFmtId="0" fontId="22" fillId="0" borderId="5" xfId="7" applyNumberFormat="1" applyFont="1" applyBorder="1" applyAlignment="1">
      <alignment horizontal="right" vertical="center" wrapText="1"/>
    </xf>
    <xf numFmtId="0" fontId="22" fillId="0" borderId="5" xfId="7" applyNumberFormat="1" applyFont="1" applyBorder="1" applyAlignment="1">
      <alignment horizontal="left" vertical="center" wrapText="1"/>
    </xf>
    <xf numFmtId="0" fontId="22" fillId="0" borderId="5" xfId="7" applyNumberFormat="1" applyFont="1" applyBorder="1" applyAlignment="1">
      <alignment vertical="center" wrapText="1"/>
    </xf>
    <xf numFmtId="0" fontId="22" fillId="0" borderId="1" xfId="7" applyNumberFormat="1" applyFont="1" applyBorder="1" applyAlignment="1">
      <alignment vertical="center" wrapText="1"/>
    </xf>
    <xf numFmtId="0" fontId="22" fillId="0" borderId="0" xfId="7" applyNumberFormat="1" applyFont="1" applyAlignment="1">
      <alignment vertical="center" wrapText="1"/>
    </xf>
    <xf numFmtId="0" fontId="22" fillId="0" borderId="0" xfId="7" applyNumberFormat="1" applyFont="1" applyAlignment="1">
      <alignment horizontal="center" vertical="center" wrapText="1"/>
    </xf>
    <xf numFmtId="0" fontId="22" fillId="0" borderId="0" xfId="7" applyNumberFormat="1" applyFont="1" applyAlignment="1">
      <alignment horizontal="right" vertical="center" wrapText="1"/>
    </xf>
    <xf numFmtId="0" fontId="22" fillId="0" borderId="0" xfId="7" applyNumberFormat="1" applyFont="1" applyAlignment="1">
      <alignment horizontal="left" vertical="center" wrapText="1"/>
    </xf>
    <xf numFmtId="0" fontId="22" fillId="0" borderId="0" xfId="7" applyNumberFormat="1" applyFont="1" applyBorder="1" applyAlignment="1">
      <alignment horizontal="center" vertical="center" wrapText="1"/>
    </xf>
    <xf numFmtId="0" fontId="22" fillId="0" borderId="0" xfId="7" applyNumberFormat="1" applyFont="1" applyBorder="1" applyAlignment="1">
      <alignment horizontal="right" vertical="center" wrapText="1"/>
    </xf>
    <xf numFmtId="2" fontId="22" fillId="0" borderId="0" xfId="7" applyNumberFormat="1" applyFont="1" applyBorder="1" applyAlignment="1">
      <alignment horizontal="right" vertical="center" wrapText="1"/>
    </xf>
    <xf numFmtId="0" fontId="22" fillId="0" borderId="0" xfId="7" applyNumberFormat="1" applyFont="1" applyBorder="1" applyAlignment="1">
      <alignment horizontal="left" vertical="center" wrapText="1"/>
    </xf>
    <xf numFmtId="0" fontId="22" fillId="0" borderId="0" xfId="7" applyNumberFormat="1" applyFont="1" applyBorder="1" applyAlignment="1">
      <alignment vertical="center" wrapText="1"/>
    </xf>
    <xf numFmtId="0" fontId="22" fillId="0" borderId="0" xfId="7" applyFont="1" applyBorder="1" applyAlignment="1">
      <alignment vertical="center" wrapText="1"/>
    </xf>
    <xf numFmtId="14" fontId="22" fillId="0" borderId="1" xfId="7" applyNumberFormat="1" applyFont="1" applyBorder="1" applyAlignment="1">
      <alignment vertical="center" wrapText="1"/>
    </xf>
    <xf numFmtId="14" fontId="22" fillId="0" borderId="1" xfId="7" applyNumberFormat="1" applyFont="1" applyBorder="1" applyAlignment="1">
      <alignment horizontal="center" vertical="center" wrapText="1"/>
    </xf>
    <xf numFmtId="2" fontId="22" fillId="0" borderId="1" xfId="7" applyNumberFormat="1" applyFont="1" applyFill="1" applyBorder="1" applyAlignment="1">
      <alignment horizontal="right" vertical="center" wrapText="1"/>
    </xf>
    <xf numFmtId="0" fontId="22" fillId="0" borderId="1" xfId="7" applyFont="1" applyFill="1" applyBorder="1" applyAlignment="1">
      <alignment horizontal="right" vertical="center" wrapText="1"/>
    </xf>
    <xf numFmtId="0" fontId="22" fillId="0" borderId="1" xfId="7" applyFont="1" applyFill="1" applyBorder="1" applyAlignment="1">
      <alignment horizontal="left" vertical="center" wrapText="1"/>
    </xf>
    <xf numFmtId="0" fontId="22" fillId="0" borderId="1" xfId="7" applyFont="1" applyBorder="1" applyAlignment="1">
      <alignment vertical="center" wrapText="1"/>
    </xf>
    <xf numFmtId="0" fontId="22" fillId="0" borderId="1" xfId="7" applyFont="1" applyBorder="1" applyAlignment="1">
      <alignment horizontal="center" vertical="center"/>
    </xf>
    <xf numFmtId="2" fontId="23" fillId="0" borderId="1" xfId="7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22" fillId="0" borderId="1" xfId="7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right" vertical="center" wrapText="1"/>
    </xf>
    <xf numFmtId="0" fontId="22" fillId="0" borderId="1" xfId="7" applyFont="1" applyBorder="1" applyAlignment="1">
      <alignment horizontal="right" vertical="center" wrapText="1"/>
    </xf>
    <xf numFmtId="0" fontId="22" fillId="0" borderId="0" xfId="7" applyFont="1" applyAlignment="1">
      <alignment horizontal="right" vertical="center" wrapText="1"/>
    </xf>
    <xf numFmtId="2" fontId="24" fillId="0" borderId="10" xfId="7" applyNumberFormat="1" applyFont="1" applyBorder="1" applyAlignment="1">
      <alignment horizontal="right" vertical="center" wrapText="1"/>
    </xf>
    <xf numFmtId="0" fontId="22" fillId="0" borderId="5" xfId="7" applyFont="1" applyBorder="1" applyAlignment="1">
      <alignment horizontal="right" vertical="center" wrapText="1"/>
    </xf>
    <xf numFmtId="2" fontId="24" fillId="0" borderId="0" xfId="7" applyNumberFormat="1" applyFont="1" applyBorder="1" applyAlignment="1">
      <alignment horizontal="right" vertical="center" wrapText="1"/>
    </xf>
    <xf numFmtId="14" fontId="22" fillId="0" borderId="0" xfId="7" applyNumberFormat="1" applyFont="1" applyBorder="1" applyAlignment="1">
      <alignment horizontal="center" vertical="center" wrapText="1"/>
    </xf>
    <xf numFmtId="0" fontId="22" fillId="0" borderId="0" xfId="7" applyFont="1" applyBorder="1" applyAlignment="1">
      <alignment horizontal="right" vertical="center" wrapText="1"/>
    </xf>
    <xf numFmtId="14" fontId="22" fillId="0" borderId="1" xfId="7" applyNumberFormat="1" applyFont="1" applyBorder="1" applyAlignment="1">
      <alignment horizontal="left" vertical="center" wrapText="1"/>
    </xf>
    <xf numFmtId="0" fontId="22" fillId="0" borderId="0" xfId="7" applyFont="1"/>
    <xf numFmtId="0" fontId="22" fillId="0" borderId="1" xfId="7" applyFont="1" applyBorder="1"/>
    <xf numFmtId="0" fontId="22" fillId="0" borderId="0" xfId="7" applyFont="1" applyBorder="1"/>
    <xf numFmtId="2" fontId="22" fillId="0" borderId="0" xfId="7" applyNumberFormat="1" applyFont="1" applyBorder="1"/>
    <xf numFmtId="0" fontId="24" fillId="0" borderId="1" xfId="7" applyNumberFormat="1" applyFont="1" applyBorder="1" applyAlignment="1">
      <alignment horizontal="center" vertical="center" wrapText="1"/>
    </xf>
    <xf numFmtId="0" fontId="24" fillId="0" borderId="1" xfId="7" applyNumberFormat="1" applyFont="1" applyFill="1" applyBorder="1" applyAlignment="1">
      <alignment horizontal="center" vertical="center" wrapText="1"/>
    </xf>
    <xf numFmtId="14" fontId="24" fillId="0" borderId="1" xfId="7" applyNumberFormat="1" applyFont="1" applyBorder="1" applyAlignment="1">
      <alignment vertical="center" wrapText="1"/>
    </xf>
    <xf numFmtId="0" fontId="24" fillId="0" borderId="1" xfId="7" applyFont="1" applyBorder="1"/>
    <xf numFmtId="0" fontId="24" fillId="0" borderId="1" xfId="7" applyNumberFormat="1" applyFont="1" applyBorder="1" applyAlignment="1">
      <alignment horizontal="right" vertical="center" wrapText="1"/>
    </xf>
    <xf numFmtId="0" fontId="24" fillId="0" borderId="1" xfId="7" applyNumberFormat="1" applyFont="1" applyBorder="1" applyAlignment="1">
      <alignment horizontal="left" vertical="center" wrapText="1"/>
    </xf>
    <xf numFmtId="0" fontId="24" fillId="0" borderId="1" xfId="7" applyNumberFormat="1" applyFont="1" applyBorder="1" applyAlignment="1">
      <alignment vertical="center" wrapText="1"/>
    </xf>
    <xf numFmtId="14" fontId="24" fillId="0" borderId="1" xfId="7" applyNumberFormat="1" applyFont="1" applyBorder="1"/>
    <xf numFmtId="2" fontId="25" fillId="0" borderId="1" xfId="1" applyNumberFormat="1" applyFont="1" applyFill="1" applyBorder="1" applyAlignment="1">
      <alignment horizontal="left" vertical="center" wrapText="1"/>
    </xf>
    <xf numFmtId="2" fontId="26" fillId="0" borderId="1" xfId="7" applyNumberFormat="1" applyFont="1" applyBorder="1"/>
    <xf numFmtId="2" fontId="27" fillId="0" borderId="1" xfId="7" applyNumberFormat="1" applyFont="1" applyBorder="1"/>
    <xf numFmtId="14" fontId="25" fillId="0" borderId="1" xfId="1" applyNumberFormat="1" applyFont="1" applyFill="1" applyBorder="1" applyAlignment="1">
      <alignment horizontal="left" vertical="center" wrapText="1"/>
    </xf>
    <xf numFmtId="2" fontId="25" fillId="0" borderId="1" xfId="1" applyNumberFormat="1" applyFont="1" applyFill="1" applyBorder="1" applyAlignment="1">
      <alignment horizontal="right" vertical="center" wrapText="1"/>
    </xf>
    <xf numFmtId="0" fontId="16" fillId="0" borderId="1" xfId="7" applyNumberFormat="1" applyFill="1" applyBorder="1" applyAlignment="1">
      <alignment horizontal="center" vertical="center" wrapText="1"/>
    </xf>
    <xf numFmtId="0" fontId="16" fillId="0" borderId="1" xfId="7" applyNumberFormat="1" applyBorder="1" applyAlignment="1">
      <alignment horizontal="right" vertical="center" wrapText="1"/>
    </xf>
    <xf numFmtId="0" fontId="16" fillId="0" borderId="1" xfId="7" applyNumberFormat="1" applyBorder="1" applyAlignment="1">
      <alignment horizontal="left" vertical="center" wrapText="1"/>
    </xf>
    <xf numFmtId="0" fontId="16" fillId="0" borderId="5" xfId="7" applyNumberFormat="1" applyBorder="1" applyAlignment="1">
      <alignment horizontal="center" vertical="center" wrapText="1"/>
    </xf>
    <xf numFmtId="0" fontId="16" fillId="0" borderId="5" xfId="7" applyNumberFormat="1" applyBorder="1" applyAlignment="1">
      <alignment horizontal="right" vertical="center" wrapText="1"/>
    </xf>
    <xf numFmtId="0" fontId="16" fillId="0" borderId="5" xfId="7" applyNumberFormat="1" applyBorder="1" applyAlignment="1">
      <alignment horizontal="left" vertical="center" wrapText="1"/>
    </xf>
    <xf numFmtId="0" fontId="16" fillId="0" borderId="5" xfId="7" applyNumberFormat="1" applyBorder="1" applyAlignment="1">
      <alignment vertical="center" wrapText="1"/>
    </xf>
    <xf numFmtId="0" fontId="16" fillId="0" borderId="1" xfId="7" applyNumberFormat="1" applyBorder="1" applyAlignment="1">
      <alignment vertical="center" wrapText="1"/>
    </xf>
    <xf numFmtId="0" fontId="16" fillId="0" borderId="0" xfId="7" applyNumberFormat="1" applyAlignment="1">
      <alignment horizontal="center" vertical="center" wrapText="1"/>
    </xf>
    <xf numFmtId="0" fontId="16" fillId="0" borderId="0" xfId="7" applyNumberFormat="1" applyAlignment="1">
      <alignment horizontal="right" vertical="center" wrapText="1"/>
    </xf>
    <xf numFmtId="0" fontId="16" fillId="0" borderId="0" xfId="7" applyNumberFormat="1" applyAlignment="1">
      <alignment horizontal="left" vertical="center" wrapText="1"/>
    </xf>
    <xf numFmtId="0" fontId="16" fillId="0" borderId="0" xfId="7" applyNumberFormat="1" applyAlignment="1">
      <alignment vertical="center" wrapText="1"/>
    </xf>
    <xf numFmtId="0" fontId="28" fillId="0" borderId="1" xfId="7" applyFont="1" applyBorder="1" applyAlignment="1">
      <alignment horizontal="center" vertical="center" wrapText="1"/>
    </xf>
    <xf numFmtId="0" fontId="28" fillId="0" borderId="1" xfId="7" applyNumberFormat="1" applyFont="1" applyBorder="1" applyAlignment="1">
      <alignment horizontal="center" vertical="center" wrapText="1"/>
    </xf>
    <xf numFmtId="0" fontId="28" fillId="0" borderId="1" xfId="7" applyNumberFormat="1" applyFont="1" applyFill="1" applyBorder="1" applyAlignment="1">
      <alignment horizontal="center" vertical="center" wrapText="1"/>
    </xf>
    <xf numFmtId="2" fontId="28" fillId="0" borderId="1" xfId="7" applyNumberFormat="1" applyFont="1" applyBorder="1" applyAlignment="1">
      <alignment horizontal="right" vertical="center" wrapText="1"/>
    </xf>
    <xf numFmtId="0" fontId="28" fillId="0" borderId="1" xfId="7" applyNumberFormat="1" applyFont="1" applyBorder="1" applyAlignment="1">
      <alignment horizontal="right" vertical="center" wrapText="1"/>
    </xf>
    <xf numFmtId="0" fontId="28" fillId="0" borderId="1" xfId="7" applyNumberFormat="1" applyFont="1" applyBorder="1" applyAlignment="1">
      <alignment horizontal="left" vertical="center" wrapText="1"/>
    </xf>
    <xf numFmtId="14" fontId="28" fillId="0" borderId="1" xfId="7" applyNumberFormat="1" applyFont="1" applyBorder="1" applyAlignment="1">
      <alignment horizontal="center" vertical="center" wrapText="1"/>
    </xf>
    <xf numFmtId="0" fontId="28" fillId="0" borderId="1" xfId="7" applyNumberFormat="1" applyFont="1" applyBorder="1" applyAlignment="1">
      <alignment vertical="center" wrapText="1"/>
    </xf>
    <xf numFmtId="0" fontId="16" fillId="0" borderId="0" xfId="7" applyNumberFormat="1" applyBorder="1" applyAlignment="1">
      <alignment horizontal="center" vertical="center" wrapText="1"/>
    </xf>
    <xf numFmtId="0" fontId="16" fillId="0" borderId="0" xfId="7" applyNumberFormat="1" applyBorder="1" applyAlignment="1">
      <alignment horizontal="right" vertical="center" wrapText="1"/>
    </xf>
    <xf numFmtId="0" fontId="16" fillId="0" borderId="0" xfId="7" applyNumberFormat="1" applyBorder="1" applyAlignment="1">
      <alignment horizontal="left" vertical="center" wrapText="1"/>
    </xf>
    <xf numFmtId="0" fontId="16" fillId="0" borderId="0" xfId="7" applyNumberFormat="1" applyBorder="1" applyAlignment="1">
      <alignment vertical="center" wrapText="1"/>
    </xf>
    <xf numFmtId="0" fontId="29" fillId="0" borderId="1" xfId="7" applyNumberFormat="1" applyFont="1" applyBorder="1" applyAlignment="1">
      <alignment horizontal="center" vertical="center" wrapText="1"/>
    </xf>
    <xf numFmtId="0" fontId="29" fillId="0" borderId="1" xfId="7" applyNumberFormat="1" applyFont="1" applyBorder="1" applyAlignment="1">
      <alignment horizontal="right" vertical="center" wrapText="1"/>
    </xf>
    <xf numFmtId="2" fontId="30" fillId="0" borderId="1" xfId="7" applyNumberFormat="1" applyFont="1" applyBorder="1" applyAlignment="1">
      <alignment horizontal="right" vertical="center" wrapText="1"/>
    </xf>
    <xf numFmtId="0" fontId="29" fillId="0" borderId="1" xfId="7" applyNumberFormat="1" applyFont="1" applyBorder="1" applyAlignment="1">
      <alignment horizontal="left" vertical="center" wrapText="1"/>
    </xf>
    <xf numFmtId="0" fontId="29" fillId="0" borderId="1" xfId="7" applyNumberFormat="1" applyFont="1" applyBorder="1" applyAlignment="1">
      <alignment vertical="center" wrapText="1"/>
    </xf>
    <xf numFmtId="2" fontId="16" fillId="0" borderId="1" xfId="7" applyNumberFormat="1" applyBorder="1" applyAlignment="1">
      <alignment horizontal="center" vertical="center" wrapText="1"/>
    </xf>
    <xf numFmtId="2" fontId="20" fillId="0" borderId="1" xfId="7" applyNumberFormat="1" applyFont="1" applyBorder="1" applyAlignment="1">
      <alignment horizontal="center" vertical="center" wrapText="1"/>
    </xf>
    <xf numFmtId="0" fontId="18" fillId="0" borderId="0" xfId="7" applyNumberFormat="1" applyFont="1" applyAlignment="1">
      <alignment horizontal="right" vertical="center" wrapText="1"/>
    </xf>
    <xf numFmtId="14" fontId="16" fillId="0" borderId="0" xfId="7" applyNumberFormat="1" applyBorder="1" applyAlignment="1">
      <alignment horizontal="center" vertical="center"/>
    </xf>
    <xf numFmtId="2" fontId="19" fillId="0" borderId="0" xfId="7" applyNumberFormat="1" applyFont="1" applyBorder="1" applyAlignment="1">
      <alignment horizontal="center" vertical="center" wrapText="1"/>
    </xf>
    <xf numFmtId="2" fontId="16" fillId="0" borderId="0" xfId="7" applyNumberFormat="1" applyBorder="1" applyAlignment="1">
      <alignment horizontal="center" vertical="center" wrapText="1"/>
    </xf>
    <xf numFmtId="14" fontId="16" fillId="0" borderId="0" xfId="7" applyNumberFormat="1" applyBorder="1" applyAlignment="1">
      <alignment horizontal="center" vertical="center" wrapText="1"/>
    </xf>
    <xf numFmtId="2" fontId="32" fillId="0" borderId="0" xfId="7" applyNumberFormat="1" applyFont="1" applyBorder="1" applyAlignment="1">
      <alignment horizontal="center" vertical="center" wrapText="1"/>
    </xf>
    <xf numFmtId="2" fontId="31" fillId="0" borderId="1" xfId="7" applyNumberFormat="1" applyFont="1" applyBorder="1" applyAlignment="1">
      <alignment horizontal="center" vertical="center" wrapText="1"/>
    </xf>
    <xf numFmtId="14" fontId="28" fillId="0" borderId="1" xfId="7" applyNumberFormat="1" applyFont="1" applyBorder="1" applyAlignment="1">
      <alignment vertical="center" wrapText="1"/>
    </xf>
    <xf numFmtId="2" fontId="28" fillId="0" borderId="1" xfId="7" applyNumberFormat="1" applyFont="1" applyBorder="1" applyAlignment="1">
      <alignment horizontal="center" vertical="center" wrapText="1"/>
    </xf>
    <xf numFmtId="2" fontId="30" fillId="0" borderId="1" xfId="7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2" fontId="31" fillId="0" borderId="0" xfId="7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6" fillId="0" borderId="0" xfId="7" applyNumberFormat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8" xfId="6" applyNumberFormat="1" applyFont="1" applyFill="1" applyBorder="1" applyAlignment="1">
      <alignment horizontal="center" vertical="center" wrapText="1"/>
    </xf>
    <xf numFmtId="4" fontId="8" fillId="0" borderId="1" xfId="6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2" fontId="8" fillId="2" borderId="23" xfId="0" applyNumberFormat="1" applyFont="1" applyFill="1" applyBorder="1" applyAlignment="1">
      <alignment vertical="center" wrapText="1"/>
    </xf>
    <xf numFmtId="2" fontId="8" fillId="2" borderId="15" xfId="0" applyNumberFormat="1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2" fontId="8" fillId="2" borderId="45" xfId="0" applyNumberFormat="1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2" fontId="33" fillId="0" borderId="4" xfId="0" applyNumberFormat="1" applyFont="1" applyFill="1" applyBorder="1" applyAlignment="1">
      <alignment horizontal="center" vertical="center" wrapText="1"/>
    </xf>
    <xf numFmtId="4" fontId="33" fillId="0" borderId="4" xfId="0" applyNumberFormat="1" applyFont="1" applyFill="1" applyBorder="1" applyAlignment="1">
      <alignment horizontal="center" vertical="center" wrapText="1"/>
    </xf>
    <xf numFmtId="4" fontId="33" fillId="0" borderId="4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2" fontId="33" fillId="0" borderId="5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center" vertical="center" wrapText="1"/>
    </xf>
    <xf numFmtId="4" fontId="33" fillId="0" borderId="5" xfId="0" applyNumberFormat="1" applyFont="1" applyFill="1" applyBorder="1" applyAlignment="1">
      <alignment horizontal="center" vertical="center" wrapText="1"/>
    </xf>
    <xf numFmtId="4" fontId="33" fillId="0" borderId="5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2" fontId="33" fillId="0" borderId="1" xfId="1" applyNumberFormat="1" applyFont="1" applyFill="1" applyBorder="1" applyAlignment="1">
      <alignment horizontal="left" vertical="center" wrapText="1"/>
    </xf>
    <xf numFmtId="4" fontId="33" fillId="2" borderId="1" xfId="1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2" borderId="2" xfId="1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left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vertical="center" wrapText="1"/>
    </xf>
    <xf numFmtId="4" fontId="15" fillId="0" borderId="8" xfId="6" applyNumberFormat="1" applyFont="1" applyFill="1" applyBorder="1" applyAlignment="1">
      <alignment horizontal="center" vertical="center" wrapText="1"/>
    </xf>
    <xf numFmtId="4" fontId="15" fillId="0" borderId="1" xfId="6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15" fillId="2" borderId="5" xfId="1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vertical="center" wrapText="1"/>
    </xf>
    <xf numFmtId="0" fontId="33" fillId="2" borderId="0" xfId="0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vertical="center" wrapText="1"/>
    </xf>
    <xf numFmtId="4" fontId="15" fillId="2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4" xfId="0" applyNumberFormat="1" applyFont="1" applyFill="1" applyBorder="1" applyAlignment="1">
      <alignment horizontal="center" vertical="center" wrapText="1"/>
    </xf>
    <xf numFmtId="4" fontId="33" fillId="0" borderId="5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4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4" fontId="16" fillId="0" borderId="4" xfId="7" applyNumberFormat="1" applyFill="1" applyBorder="1" applyAlignment="1">
      <alignment horizontal="center" vertical="center" wrapText="1"/>
    </xf>
    <xf numFmtId="14" fontId="16" fillId="0" borderId="13" xfId="7" applyNumberFormat="1" applyFill="1" applyBorder="1" applyAlignment="1">
      <alignment horizontal="center" vertical="center" wrapText="1"/>
    </xf>
    <xf numFmtId="0" fontId="16" fillId="0" borderId="4" xfId="7" applyBorder="1" applyAlignment="1">
      <alignment horizontal="center" wrapText="1"/>
    </xf>
    <xf numFmtId="0" fontId="16" fillId="0" borderId="13" xfId="7" applyBorder="1" applyAlignment="1">
      <alignment horizontal="center" wrapText="1"/>
    </xf>
    <xf numFmtId="0" fontId="16" fillId="0" borderId="4" xfId="7" applyBorder="1" applyAlignment="1">
      <alignment horizontal="center"/>
    </xf>
    <xf numFmtId="0" fontId="16" fillId="0" borderId="13" xfId="7" applyBorder="1" applyAlignment="1">
      <alignment horizontal="center"/>
    </xf>
    <xf numFmtId="14" fontId="16" fillId="0" borderId="10" xfId="7" applyNumberFormat="1" applyFill="1" applyBorder="1" applyAlignment="1">
      <alignment horizontal="center" vertical="center" wrapText="1"/>
    </xf>
    <xf numFmtId="0" fontId="16" fillId="0" borderId="10" xfId="7" applyFill="1" applyBorder="1" applyAlignment="1">
      <alignment horizontal="center" vertical="center" wrapText="1"/>
    </xf>
    <xf numFmtId="0" fontId="16" fillId="0" borderId="5" xfId="7" applyFill="1" applyBorder="1" applyAlignment="1">
      <alignment horizontal="center" vertical="center" wrapText="1"/>
    </xf>
    <xf numFmtId="0" fontId="16" fillId="0" borderId="10" xfId="7" applyBorder="1" applyAlignment="1">
      <alignment horizontal="center"/>
    </xf>
    <xf numFmtId="0" fontId="16" fillId="0" borderId="13" xfId="7" applyFill="1" applyBorder="1" applyAlignment="1">
      <alignment horizontal="center" vertical="center" wrapText="1"/>
    </xf>
    <xf numFmtId="14" fontId="16" fillId="0" borderId="4" xfId="7" applyNumberFormat="1" applyFill="1" applyBorder="1" applyAlignment="1">
      <alignment horizontal="center" vertical="center"/>
    </xf>
    <xf numFmtId="14" fontId="16" fillId="0" borderId="13" xfId="7" applyNumberFormat="1" applyFill="1" applyBorder="1" applyAlignment="1">
      <alignment horizontal="center" vertical="center"/>
    </xf>
    <xf numFmtId="14" fontId="16" fillId="0" borderId="5" xfId="7" applyNumberFormat="1" applyFill="1" applyBorder="1" applyAlignment="1">
      <alignment horizontal="center" vertical="center" wrapText="1"/>
    </xf>
    <xf numFmtId="0" fontId="16" fillId="0" borderId="10" xfId="7" applyBorder="1" applyAlignment="1">
      <alignment horizontal="center" vertical="center" wrapText="1"/>
    </xf>
    <xf numFmtId="0" fontId="16" fillId="0" borderId="4" xfId="7" applyBorder="1" applyAlignment="1">
      <alignment horizontal="center" vertical="center" wrapText="1"/>
    </xf>
    <xf numFmtId="0" fontId="16" fillId="0" borderId="4" xfId="7" applyFill="1" applyBorder="1" applyAlignment="1">
      <alignment horizontal="center" vertical="center" wrapText="1"/>
    </xf>
    <xf numFmtId="14" fontId="16" fillId="0" borderId="14" xfId="7" applyNumberFormat="1" applyBorder="1" applyAlignment="1">
      <alignment horizontal="center" vertical="center"/>
    </xf>
    <xf numFmtId="14" fontId="16" fillId="0" borderId="4" xfId="7" applyNumberFormat="1" applyBorder="1" applyAlignment="1">
      <alignment horizontal="center" vertical="center"/>
    </xf>
    <xf numFmtId="14" fontId="16" fillId="0" borderId="13" xfId="7" applyNumberFormat="1" applyBorder="1" applyAlignment="1">
      <alignment horizontal="center" vertical="center"/>
    </xf>
    <xf numFmtId="14" fontId="16" fillId="0" borderId="4" xfId="7" applyNumberFormat="1" applyBorder="1" applyAlignment="1">
      <alignment horizontal="center" vertical="center" wrapText="1"/>
    </xf>
    <xf numFmtId="14" fontId="16" fillId="0" borderId="13" xfId="7" applyNumberFormat="1" applyBorder="1" applyAlignment="1">
      <alignment horizontal="center" vertical="center" wrapText="1"/>
    </xf>
    <xf numFmtId="0" fontId="16" fillId="0" borderId="4" xfId="7" applyBorder="1" applyAlignment="1">
      <alignment horizontal="left" vertical="center" wrapText="1"/>
    </xf>
    <xf numFmtId="0" fontId="16" fillId="0" borderId="13" xfId="7" applyBorder="1" applyAlignment="1">
      <alignment horizontal="left" vertical="center" wrapText="1"/>
    </xf>
    <xf numFmtId="0" fontId="16" fillId="0" borderId="13" xfId="7" applyBorder="1" applyAlignment="1">
      <alignment horizontal="center" vertical="center" wrapText="1"/>
    </xf>
    <xf numFmtId="14" fontId="16" fillId="0" borderId="10" xfId="7" applyNumberFormat="1" applyBorder="1" applyAlignment="1">
      <alignment horizontal="center" vertical="center" wrapText="1"/>
    </xf>
    <xf numFmtId="14" fontId="16" fillId="0" borderId="14" xfId="7" applyNumberFormat="1" applyBorder="1" applyAlignment="1">
      <alignment horizontal="center" vertical="center" wrapText="1"/>
    </xf>
    <xf numFmtId="0" fontId="16" fillId="0" borderId="14" xfId="7" applyBorder="1" applyAlignment="1">
      <alignment horizontal="left" vertical="center" wrapText="1"/>
    </xf>
    <xf numFmtId="0" fontId="16" fillId="0" borderId="14" xfId="7" applyBorder="1" applyAlignment="1">
      <alignment horizontal="center" vertical="center" wrapText="1"/>
    </xf>
    <xf numFmtId="14" fontId="16" fillId="0" borderId="33" xfId="7" applyNumberFormat="1" applyBorder="1" applyAlignment="1">
      <alignment horizontal="center" vertical="center" wrapText="1"/>
    </xf>
    <xf numFmtId="14" fontId="16" fillId="0" borderId="34" xfId="7" applyNumberFormat="1" applyBorder="1" applyAlignment="1">
      <alignment horizontal="center" vertical="center" wrapText="1"/>
    </xf>
    <xf numFmtId="14" fontId="16" fillId="0" borderId="35" xfId="7" applyNumberFormat="1" applyBorder="1" applyAlignment="1">
      <alignment horizontal="center" vertical="center" wrapText="1"/>
    </xf>
    <xf numFmtId="0" fontId="16" fillId="0" borderId="25" xfId="7" applyBorder="1" applyAlignment="1">
      <alignment horizontal="center" vertical="center" wrapText="1"/>
    </xf>
    <xf numFmtId="0" fontId="16" fillId="0" borderId="27" xfId="7" applyBorder="1" applyAlignment="1">
      <alignment horizontal="center" vertical="center" wrapText="1"/>
    </xf>
    <xf numFmtId="0" fontId="16" fillId="0" borderId="30" xfId="7" applyBorder="1" applyAlignment="1">
      <alignment horizontal="center" vertical="center" wrapText="1"/>
    </xf>
    <xf numFmtId="14" fontId="16" fillId="0" borderId="5" xfId="7" applyNumberFormat="1" applyBorder="1" applyAlignment="1">
      <alignment horizontal="center" vertical="center" wrapText="1"/>
    </xf>
    <xf numFmtId="0" fontId="16" fillId="0" borderId="5" xfId="7" applyBorder="1" applyAlignment="1">
      <alignment horizontal="center" vertical="center" wrapText="1"/>
    </xf>
    <xf numFmtId="0" fontId="16" fillId="0" borderId="25" xfId="7" applyBorder="1" applyAlignment="1">
      <alignment horizontal="center" vertical="center"/>
    </xf>
    <xf numFmtId="0" fontId="16" fillId="0" borderId="27" xfId="7" applyBorder="1" applyAlignment="1">
      <alignment horizontal="center" vertical="center"/>
    </xf>
    <xf numFmtId="0" fontId="16" fillId="0" borderId="30" xfId="7" applyBorder="1" applyAlignment="1">
      <alignment horizontal="center" vertical="center"/>
    </xf>
    <xf numFmtId="0" fontId="19" fillId="0" borderId="0" xfId="7" applyFont="1" applyBorder="1" applyAlignment="1">
      <alignment horizontal="center" vertical="center" wrapText="1"/>
    </xf>
    <xf numFmtId="14" fontId="16" fillId="0" borderId="24" xfId="7" applyNumberFormat="1" applyBorder="1" applyAlignment="1">
      <alignment horizontal="center" vertical="center" wrapText="1"/>
    </xf>
    <xf numFmtId="14" fontId="16" fillId="0" borderId="37" xfId="7" applyNumberFormat="1" applyBorder="1" applyAlignment="1">
      <alignment horizontal="center" vertical="center" wrapText="1"/>
    </xf>
    <xf numFmtId="14" fontId="16" fillId="0" borderId="28" xfId="7" applyNumberFormat="1" applyBorder="1" applyAlignment="1">
      <alignment horizontal="center" vertical="center" wrapText="1"/>
    </xf>
    <xf numFmtId="0" fontId="16" fillId="0" borderId="36" xfId="7" applyBorder="1" applyAlignment="1">
      <alignment horizontal="center" vertical="center" wrapText="1"/>
    </xf>
    <xf numFmtId="0" fontId="16" fillId="0" borderId="38" xfId="7" applyBorder="1" applyAlignment="1">
      <alignment horizontal="center" vertical="center" wrapText="1"/>
    </xf>
    <xf numFmtId="0" fontId="16" fillId="0" borderId="39" xfId="7" applyBorder="1" applyAlignment="1">
      <alignment horizontal="center" vertical="center" wrapText="1"/>
    </xf>
    <xf numFmtId="0" fontId="17" fillId="0" borderId="14" xfId="7" applyFont="1" applyBorder="1" applyAlignment="1">
      <alignment horizontal="center" vertical="center" wrapText="1"/>
    </xf>
    <xf numFmtId="0" fontId="17" fillId="0" borderId="4" xfId="7" applyFont="1" applyBorder="1" applyAlignment="1">
      <alignment horizontal="center" vertical="center" wrapText="1"/>
    </xf>
    <xf numFmtId="0" fontId="17" fillId="0" borderId="13" xfId="7" applyFont="1" applyBorder="1" applyAlignment="1">
      <alignment horizontal="center" vertical="center" wrapText="1"/>
    </xf>
    <xf numFmtId="0" fontId="16" fillId="0" borderId="24" xfId="7" applyBorder="1" applyAlignment="1">
      <alignment horizontal="center" vertical="center" wrapText="1"/>
    </xf>
    <xf numFmtId="0" fontId="16" fillId="0" borderId="37" xfId="7" applyBorder="1" applyAlignment="1">
      <alignment horizontal="center" vertical="center" wrapText="1"/>
    </xf>
    <xf numFmtId="14" fontId="16" fillId="0" borderId="33" xfId="7" applyNumberFormat="1" applyBorder="1" applyAlignment="1">
      <alignment horizontal="center" vertical="center"/>
    </xf>
    <xf numFmtId="14" fontId="16" fillId="0" borderId="34" xfId="7" applyNumberFormat="1" applyBorder="1" applyAlignment="1">
      <alignment horizontal="center" vertical="center"/>
    </xf>
    <xf numFmtId="14" fontId="16" fillId="0" borderId="35" xfId="7" applyNumberFormat="1" applyBorder="1" applyAlignment="1">
      <alignment horizontal="center" vertical="center"/>
    </xf>
    <xf numFmtId="14" fontId="16" fillId="0" borderId="24" xfId="7" applyNumberFormat="1" applyBorder="1" applyAlignment="1">
      <alignment horizontal="center" vertical="center"/>
    </xf>
    <xf numFmtId="14" fontId="16" fillId="0" borderId="37" xfId="7" applyNumberFormat="1" applyBorder="1" applyAlignment="1">
      <alignment horizontal="center" vertical="center"/>
    </xf>
    <xf numFmtId="14" fontId="16" fillId="0" borderId="28" xfId="7" applyNumberFormat="1" applyBorder="1" applyAlignment="1">
      <alignment horizontal="center" vertical="center"/>
    </xf>
    <xf numFmtId="0" fontId="16" fillId="0" borderId="17" xfId="7" applyBorder="1" applyAlignment="1">
      <alignment horizontal="center" vertical="center" wrapText="1"/>
    </xf>
    <xf numFmtId="0" fontId="16" fillId="0" borderId="1" xfId="7" applyBorder="1" applyAlignment="1">
      <alignment horizontal="center" vertical="center" wrapText="1"/>
    </xf>
    <xf numFmtId="0" fontId="16" fillId="0" borderId="29" xfId="7" applyBorder="1" applyAlignment="1">
      <alignment horizontal="center" vertical="center" wrapText="1"/>
    </xf>
    <xf numFmtId="0" fontId="16" fillId="0" borderId="43" xfId="7" applyBorder="1" applyAlignment="1">
      <alignment horizontal="center" vertical="center" wrapText="1"/>
    </xf>
    <xf numFmtId="14" fontId="22" fillId="0" borderId="1" xfId="7" applyNumberFormat="1" applyFont="1" applyBorder="1" applyAlignment="1">
      <alignment horizontal="center" vertical="center" wrapText="1"/>
    </xf>
    <xf numFmtId="0" fontId="22" fillId="0" borderId="1" xfId="7" applyNumberFormat="1" applyFont="1" applyBorder="1" applyAlignment="1">
      <alignment horizontal="center" vertical="center" wrapText="1"/>
    </xf>
    <xf numFmtId="14" fontId="22" fillId="0" borderId="1" xfId="7" applyNumberFormat="1" applyFont="1" applyBorder="1" applyAlignment="1">
      <alignment horizontal="center" vertical="center"/>
    </xf>
    <xf numFmtId="14" fontId="28" fillId="0" borderId="1" xfId="7" applyNumberFormat="1" applyFont="1" applyBorder="1" applyAlignment="1">
      <alignment horizontal="center" vertical="center" wrapText="1"/>
    </xf>
    <xf numFmtId="0" fontId="28" fillId="0" borderId="1" xfId="7" applyNumberFormat="1" applyFont="1" applyBorder="1" applyAlignment="1">
      <alignment horizontal="center" vertical="center" wrapText="1"/>
    </xf>
    <xf numFmtId="0" fontId="28" fillId="0" borderId="1" xfId="7" applyNumberFormat="1" applyFont="1" applyBorder="1" applyAlignment="1">
      <alignment horizontal="left" vertical="center" wrapText="1"/>
    </xf>
    <xf numFmtId="14" fontId="16" fillId="0" borderId="0" xfId="7" applyNumberFormat="1" applyBorder="1" applyAlignment="1">
      <alignment horizontal="center" vertical="center"/>
    </xf>
    <xf numFmtId="0" fontId="16" fillId="0" borderId="0" xfId="7" applyNumberFormat="1" applyBorder="1" applyAlignment="1">
      <alignment horizontal="center" vertical="center" wrapText="1"/>
    </xf>
    <xf numFmtId="14" fontId="16" fillId="0" borderId="1" xfId="7" applyNumberFormat="1" applyBorder="1" applyAlignment="1">
      <alignment horizontal="center" vertical="center" wrapText="1"/>
    </xf>
    <xf numFmtId="0" fontId="16" fillId="0" borderId="1" xfId="7" applyNumberForma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7"/>
    <cellStyle name="Обычный_Отчет по договору (2)" xfId="6"/>
    <cellStyle name="Финансовы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96"/>
  <sheetViews>
    <sheetView topLeftCell="B1" workbookViewId="0">
      <selection activeCell="N4" sqref="N4:N8"/>
    </sheetView>
  </sheetViews>
  <sheetFormatPr defaultRowHeight="12" x14ac:dyDescent="0.25"/>
  <cols>
    <col min="1" max="1" width="5.5703125" style="21" customWidth="1"/>
    <col min="2" max="2" width="17.28515625" style="7" customWidth="1"/>
    <col min="3" max="3" width="9.5703125" style="8" customWidth="1"/>
    <col min="4" max="4" width="10.140625" style="9" customWidth="1"/>
    <col min="5" max="5" width="9.28515625" style="8" customWidth="1"/>
    <col min="6" max="6" width="9.7109375" style="8" customWidth="1"/>
    <col min="7" max="7" width="8.28515625" style="8" customWidth="1"/>
    <col min="8" max="8" width="10.28515625" style="8" customWidth="1"/>
    <col min="9" max="9" width="8.85546875" style="8" customWidth="1"/>
    <col min="10" max="10" width="9.85546875" style="8" customWidth="1"/>
    <col min="11" max="11" width="12.28515625" style="37" customWidth="1"/>
    <col min="12" max="15" width="11.7109375" style="10" customWidth="1"/>
    <col min="16" max="16" width="13.140625" style="53" customWidth="1"/>
    <col min="17" max="16384" width="9.140625" style="12"/>
  </cols>
  <sheetData>
    <row r="1" spans="1:16" x14ac:dyDescent="0.25">
      <c r="A1" s="79"/>
      <c r="K1" s="40"/>
      <c r="L1" s="42"/>
      <c r="M1" s="42"/>
      <c r="N1" s="42"/>
      <c r="O1" s="42"/>
    </row>
    <row r="2" spans="1:16" s="11" customFormat="1" ht="18.75" customHeight="1" x14ac:dyDescent="0.25">
      <c r="A2" s="603" t="s">
        <v>116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</row>
    <row r="3" spans="1:16" ht="35.25" customHeight="1" x14ac:dyDescent="0.25">
      <c r="A3" s="590" t="s">
        <v>12</v>
      </c>
      <c r="B3" s="615" t="s">
        <v>37</v>
      </c>
      <c r="C3" s="615"/>
      <c r="D3" s="615"/>
      <c r="E3" s="615"/>
      <c r="F3" s="615"/>
      <c r="G3" s="615"/>
      <c r="H3" s="615"/>
      <c r="I3" s="615"/>
      <c r="J3" s="615"/>
      <c r="K3" s="615"/>
      <c r="L3" s="616" t="s">
        <v>38</v>
      </c>
      <c r="M3" s="617"/>
      <c r="N3" s="617"/>
      <c r="O3" s="618"/>
      <c r="P3" s="604" t="s">
        <v>181</v>
      </c>
    </row>
    <row r="4" spans="1:16" ht="12" customHeight="1" x14ac:dyDescent="0.25">
      <c r="A4" s="590"/>
      <c r="B4" s="605" t="s">
        <v>7</v>
      </c>
      <c r="C4" s="597" t="s">
        <v>9</v>
      </c>
      <c r="D4" s="598"/>
      <c r="E4" s="608" t="s">
        <v>10</v>
      </c>
      <c r="F4" s="608"/>
      <c r="G4" s="608" t="s">
        <v>11</v>
      </c>
      <c r="H4" s="608"/>
      <c r="I4" s="594" t="s">
        <v>58</v>
      </c>
      <c r="J4" s="595"/>
      <c r="K4" s="596" t="s">
        <v>66</v>
      </c>
      <c r="L4" s="600" t="s">
        <v>70</v>
      </c>
      <c r="M4" s="609" t="s">
        <v>71</v>
      </c>
      <c r="N4" s="609" t="s">
        <v>72</v>
      </c>
      <c r="O4" s="612" t="s">
        <v>73</v>
      </c>
      <c r="P4" s="604"/>
    </row>
    <row r="5" spans="1:16" ht="12" customHeight="1" x14ac:dyDescent="0.25">
      <c r="A5" s="590"/>
      <c r="B5" s="606"/>
      <c r="C5" s="597">
        <v>6414.1</v>
      </c>
      <c r="D5" s="598"/>
      <c r="E5" s="594">
        <v>6387.7</v>
      </c>
      <c r="F5" s="595"/>
      <c r="G5" s="594">
        <v>6497.32</v>
      </c>
      <c r="H5" s="595"/>
      <c r="I5" s="594">
        <v>24004.01</v>
      </c>
      <c r="J5" s="595"/>
      <c r="K5" s="596"/>
      <c r="L5" s="601"/>
      <c r="M5" s="610"/>
      <c r="N5" s="610"/>
      <c r="O5" s="613"/>
      <c r="P5" s="604"/>
    </row>
    <row r="6" spans="1:16" ht="12" customHeight="1" x14ac:dyDescent="0.25">
      <c r="A6" s="590"/>
      <c r="B6" s="606"/>
      <c r="C6" s="597">
        <f>C5+E5+G5</f>
        <v>19299.12</v>
      </c>
      <c r="D6" s="599"/>
      <c r="E6" s="599"/>
      <c r="F6" s="599"/>
      <c r="G6" s="599"/>
      <c r="H6" s="598"/>
      <c r="I6" s="85"/>
      <c r="J6" s="86"/>
      <c r="K6" s="596"/>
      <c r="L6" s="601"/>
      <c r="M6" s="610"/>
      <c r="N6" s="610"/>
      <c r="O6" s="613"/>
      <c r="P6" s="604"/>
    </row>
    <row r="7" spans="1:16" ht="12" customHeight="1" x14ac:dyDescent="0.25">
      <c r="A7" s="590"/>
      <c r="B7" s="606"/>
      <c r="C7" s="597">
        <f>C6+I5</f>
        <v>43303.13</v>
      </c>
      <c r="D7" s="599"/>
      <c r="E7" s="599"/>
      <c r="F7" s="599"/>
      <c r="G7" s="599"/>
      <c r="H7" s="598"/>
      <c r="I7" s="85"/>
      <c r="J7" s="86"/>
      <c r="K7" s="596"/>
      <c r="L7" s="601"/>
      <c r="M7" s="610"/>
      <c r="N7" s="610"/>
      <c r="O7" s="613"/>
      <c r="P7" s="604"/>
    </row>
    <row r="8" spans="1:16" ht="38.25" x14ac:dyDescent="0.25">
      <c r="A8" s="590"/>
      <c r="B8" s="607"/>
      <c r="C8" s="13" t="s">
        <v>68</v>
      </c>
      <c r="D8" s="14" t="s">
        <v>8</v>
      </c>
      <c r="E8" s="13" t="s">
        <v>68</v>
      </c>
      <c r="F8" s="14" t="s">
        <v>8</v>
      </c>
      <c r="G8" s="13" t="s">
        <v>68</v>
      </c>
      <c r="H8" s="14" t="s">
        <v>8</v>
      </c>
      <c r="I8" s="13" t="s">
        <v>68</v>
      </c>
      <c r="J8" s="14" t="s">
        <v>8</v>
      </c>
      <c r="K8" s="596"/>
      <c r="L8" s="602"/>
      <c r="M8" s="611"/>
      <c r="N8" s="611"/>
      <c r="O8" s="614"/>
      <c r="P8" s="604"/>
    </row>
    <row r="9" spans="1:16" x14ac:dyDescent="0.25">
      <c r="A9" s="590"/>
      <c r="B9" s="15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38">
        <v>10</v>
      </c>
      <c r="L9" s="15">
        <v>11</v>
      </c>
      <c r="M9" s="54">
        <v>12</v>
      </c>
      <c r="N9" s="54">
        <v>13</v>
      </c>
      <c r="O9" s="55">
        <v>14</v>
      </c>
      <c r="P9" s="26" t="s">
        <v>69</v>
      </c>
    </row>
    <row r="10" spans="1:16" s="20" customFormat="1" ht="34.5" customHeight="1" x14ac:dyDescent="0.25">
      <c r="A10" s="45" t="s">
        <v>13</v>
      </c>
      <c r="B10" s="17" t="s">
        <v>0</v>
      </c>
      <c r="C10" s="1">
        <f t="shared" ref="C10:J10" si="0">SUM(C11:C13)</f>
        <v>0.45999999999999996</v>
      </c>
      <c r="D10" s="18">
        <f t="shared" si="0"/>
        <v>35405.831999999995</v>
      </c>
      <c r="E10" s="18">
        <f t="shared" si="0"/>
        <v>0.45999999999999996</v>
      </c>
      <c r="F10" s="18">
        <f t="shared" si="0"/>
        <v>35260.103999999999</v>
      </c>
      <c r="G10" s="1">
        <f t="shared" si="0"/>
        <v>0.45999999999999996</v>
      </c>
      <c r="H10" s="18">
        <f t="shared" si="0"/>
        <v>35865.206399999995</v>
      </c>
      <c r="I10" s="1">
        <f t="shared" si="0"/>
        <v>0.45999999999999996</v>
      </c>
      <c r="J10" s="18">
        <f t="shared" si="0"/>
        <v>99376.601399999985</v>
      </c>
      <c r="K10" s="33">
        <f>D10+F10+H10+J10</f>
        <v>205907.74379999997</v>
      </c>
      <c r="L10" s="46">
        <f>SUM(L11:L13)</f>
        <v>183760</v>
      </c>
      <c r="M10" s="46">
        <f t="shared" ref="M10:N10" si="1">SUM(M11:M13)</f>
        <v>8857.2170887208376</v>
      </c>
      <c r="N10" s="46">
        <f t="shared" si="1"/>
        <v>7000.0100324643045</v>
      </c>
      <c r="O10" s="19">
        <f>L10+M10+N10</f>
        <v>199617.22712118516</v>
      </c>
      <c r="P10" s="56">
        <f>SUM(P11:P13)</f>
        <v>6290.516678814849</v>
      </c>
    </row>
    <row r="11" spans="1:16" ht="37.5" customHeight="1" x14ac:dyDescent="0.25">
      <c r="A11" s="21" t="s">
        <v>45</v>
      </c>
      <c r="B11" s="22" t="s">
        <v>34</v>
      </c>
      <c r="C11" s="23">
        <v>0.03</v>
      </c>
      <c r="D11" s="5">
        <f>C11*12*$C$5</f>
        <v>2309.076</v>
      </c>
      <c r="E11" s="5">
        <v>0.02</v>
      </c>
      <c r="F11" s="5">
        <f>E11*12*$E$5</f>
        <v>1533.048</v>
      </c>
      <c r="G11" s="5">
        <v>0.02</v>
      </c>
      <c r="H11" s="5">
        <f>G11*12*$G$5</f>
        <v>1559.3567999999998</v>
      </c>
      <c r="I11" s="5">
        <v>0.02</v>
      </c>
      <c r="J11" s="5">
        <f>I11*9*$I$5</f>
        <v>4320.7217999999993</v>
      </c>
      <c r="K11" s="39">
        <f t="shared" ref="K11:K20" si="2">D11+F11+H11+J11</f>
        <v>9722.2025999999987</v>
      </c>
      <c r="L11" s="48"/>
      <c r="M11" s="48">
        <f>'Затраты 88, 90, 92'!L6+'Затраты 86'!L2</f>
        <v>7297.2199999999993</v>
      </c>
      <c r="N11" s="48"/>
      <c r="O11" s="24">
        <f>L11+M11+N11</f>
        <v>7297.2199999999993</v>
      </c>
      <c r="P11" s="52">
        <f t="shared" ref="P11:P61" si="3">K11-O11</f>
        <v>2424.9825999999994</v>
      </c>
    </row>
    <row r="12" spans="1:16" ht="36" customHeight="1" x14ac:dyDescent="0.25">
      <c r="A12" s="21" t="s">
        <v>19</v>
      </c>
      <c r="B12" s="22" t="s">
        <v>35</v>
      </c>
      <c r="C12" s="23">
        <v>0.08</v>
      </c>
      <c r="D12" s="5">
        <f t="shared" ref="D12:D13" si="4">C12*12*$C$5</f>
        <v>6157.5360000000001</v>
      </c>
      <c r="E12" s="5">
        <v>0.08</v>
      </c>
      <c r="F12" s="5">
        <f>E12*12*$E$5</f>
        <v>6132.192</v>
      </c>
      <c r="G12" s="5">
        <v>0.08</v>
      </c>
      <c r="H12" s="5">
        <f>G12*12*$G$5</f>
        <v>6237.4271999999992</v>
      </c>
      <c r="I12" s="5">
        <v>0.08</v>
      </c>
      <c r="J12" s="5">
        <f>I12*9*$I$5</f>
        <v>17282.887199999997</v>
      </c>
      <c r="K12" s="39">
        <f t="shared" si="2"/>
        <v>35810.042399999991</v>
      </c>
      <c r="L12" s="42"/>
      <c r="M12" s="48">
        <f>'Смета 2015 88,90,92'!M11+'Смета 2015 86'!M11</f>
        <v>1559.9970887208383</v>
      </c>
      <c r="N12" s="48">
        <f>'Смета 2015 88,90,92'!N11+'Смета 2015 86'!N11</f>
        <v>7000.0100324643045</v>
      </c>
      <c r="O12" s="24">
        <f>L12+M12+N12</f>
        <v>8560.0071211851428</v>
      </c>
      <c r="P12" s="52">
        <f t="shared" si="3"/>
        <v>27250.035278814848</v>
      </c>
    </row>
    <row r="13" spans="1:16" ht="28.5" customHeight="1" x14ac:dyDescent="0.25">
      <c r="A13" s="21" t="s">
        <v>39</v>
      </c>
      <c r="B13" s="22" t="s">
        <v>20</v>
      </c>
      <c r="C13" s="23">
        <v>0.35</v>
      </c>
      <c r="D13" s="5">
        <f t="shared" si="4"/>
        <v>26939.219999999998</v>
      </c>
      <c r="E13" s="5">
        <v>0.36</v>
      </c>
      <c r="F13" s="5">
        <f>E13*12*$E$5</f>
        <v>27594.864000000001</v>
      </c>
      <c r="G13" s="5">
        <v>0.36</v>
      </c>
      <c r="H13" s="5">
        <f>G13*12*$G$5</f>
        <v>28068.422399999999</v>
      </c>
      <c r="I13" s="5">
        <v>0.36</v>
      </c>
      <c r="J13" s="5">
        <f>I13*9*$I$5</f>
        <v>77772.992399999988</v>
      </c>
      <c r="K13" s="39">
        <f t="shared" si="2"/>
        <v>160375.4988</v>
      </c>
      <c r="L13" s="48">
        <f>'Смета 2015 88,90,92'!L12+'Смета 2015 86'!L12</f>
        <v>183760</v>
      </c>
      <c r="M13" s="48"/>
      <c r="N13" s="48"/>
      <c r="O13" s="24">
        <f>L13+M13+N13</f>
        <v>183760</v>
      </c>
      <c r="P13" s="52">
        <f t="shared" si="3"/>
        <v>-23384.501199999999</v>
      </c>
    </row>
    <row r="14" spans="1:16" s="20" customFormat="1" ht="23.25" customHeight="1" x14ac:dyDescent="0.25">
      <c r="A14" s="45" t="s">
        <v>14</v>
      </c>
      <c r="B14" s="17" t="s">
        <v>1</v>
      </c>
      <c r="C14" s="1">
        <f>SUM(C15:C20)</f>
        <v>0.59000000000000008</v>
      </c>
      <c r="D14" s="18">
        <f>SUM(D15:D22)</f>
        <v>45411.828000000001</v>
      </c>
      <c r="E14" s="18">
        <f>SUM(E15:E20)</f>
        <v>0.59000000000000008</v>
      </c>
      <c r="F14" s="18">
        <f>SUM(F15:F22)</f>
        <v>45224.916000000005</v>
      </c>
      <c r="G14" s="18">
        <f>SUM(G15:G20)</f>
        <v>0.59000000000000008</v>
      </c>
      <c r="H14" s="18">
        <f>SUM(H15:H22)</f>
        <v>46001.025599999994</v>
      </c>
      <c r="I14" s="18">
        <f>SUM(I15:I20)</f>
        <v>0.59000000000000008</v>
      </c>
      <c r="J14" s="18">
        <f>SUM(J15:J22)</f>
        <v>127461.2931</v>
      </c>
      <c r="K14" s="33">
        <f>SUM(K15:K22)</f>
        <v>264099.06269999995</v>
      </c>
      <c r="L14" s="46">
        <f>SUM(L15:L22)</f>
        <v>235060</v>
      </c>
      <c r="M14" s="46">
        <f t="shared" ref="M14:N14" si="5">SUM(M15:M22)</f>
        <v>226668.35251929145</v>
      </c>
      <c r="N14" s="46">
        <f t="shared" si="5"/>
        <v>13934.13</v>
      </c>
      <c r="O14" s="19">
        <f>L14+M14+N14</f>
        <v>475662.48251929146</v>
      </c>
      <c r="P14" s="56">
        <f>SUM(P15:P22)</f>
        <v>-211563.41981929151</v>
      </c>
    </row>
    <row r="15" spans="1:16" ht="33.75" customHeight="1" x14ac:dyDescent="0.25">
      <c r="A15" s="21" t="s">
        <v>46</v>
      </c>
      <c r="B15" s="25" t="s">
        <v>42</v>
      </c>
      <c r="C15" s="2">
        <v>0.03</v>
      </c>
      <c r="D15" s="5">
        <f t="shared" ref="D15:D20" si="6">C15*12*$C$5</f>
        <v>2309.076</v>
      </c>
      <c r="E15" s="5">
        <v>0.03</v>
      </c>
      <c r="F15" s="5">
        <f>E15*12*$E$5</f>
        <v>2299.5719999999997</v>
      </c>
      <c r="G15" s="5">
        <v>0.03</v>
      </c>
      <c r="H15" s="5">
        <f>G15*12*$G$5</f>
        <v>2339.0351999999998</v>
      </c>
      <c r="I15" s="5">
        <v>0.03</v>
      </c>
      <c r="J15" s="5">
        <f>I15*9*$I$5</f>
        <v>6481.0826999999999</v>
      </c>
      <c r="K15" s="39">
        <f t="shared" si="2"/>
        <v>13428.765899999999</v>
      </c>
      <c r="L15" s="48">
        <f>'Смета 2015 88,90,92'!L14+'Смета 2015 86'!L14</f>
        <v>2790</v>
      </c>
      <c r="M15" s="48">
        <f>'Смета 2015 88,90,92'!M14+'Смета 2015 86'!M14</f>
        <v>20754.91</v>
      </c>
      <c r="N15" s="48"/>
      <c r="O15" s="24">
        <f t="shared" ref="O15:O44" si="7">L15+M15+N15</f>
        <v>23544.91</v>
      </c>
      <c r="P15" s="52">
        <f t="shared" si="3"/>
        <v>-10116.144100000001</v>
      </c>
    </row>
    <row r="16" spans="1:16" ht="33.75" customHeight="1" x14ac:dyDescent="0.25">
      <c r="A16" s="21" t="s">
        <v>47</v>
      </c>
      <c r="B16" s="25" t="s">
        <v>43</v>
      </c>
      <c r="C16" s="2">
        <v>0.05</v>
      </c>
      <c r="D16" s="5">
        <f t="shared" si="6"/>
        <v>3848.4600000000009</v>
      </c>
      <c r="E16" s="5">
        <v>0.05</v>
      </c>
      <c r="F16" s="5">
        <f t="shared" ref="F16:F20" si="8">E16*12*$E$5</f>
        <v>3832.6200000000003</v>
      </c>
      <c r="G16" s="5">
        <v>0.05</v>
      </c>
      <c r="H16" s="5">
        <f t="shared" ref="H16:H20" si="9">G16*12*$G$5</f>
        <v>3898.3920000000003</v>
      </c>
      <c r="I16" s="5">
        <v>0.05</v>
      </c>
      <c r="J16" s="5">
        <f>I16*9*$I$5</f>
        <v>10801.8045</v>
      </c>
      <c r="K16" s="39">
        <f t="shared" si="2"/>
        <v>22381.2765</v>
      </c>
      <c r="L16" s="48">
        <f>'Смета 2015 88,90,92'!L15+'Смета 2015 86'!L15</f>
        <v>25365</v>
      </c>
      <c r="M16" s="48">
        <f>'Смета 2015 88,90,92'!M15+'Смета 2015 86'!M15</f>
        <v>1652</v>
      </c>
      <c r="N16" s="48"/>
      <c r="O16" s="24">
        <f t="shared" si="7"/>
        <v>27017</v>
      </c>
      <c r="P16" s="52">
        <f t="shared" si="3"/>
        <v>-4635.7235000000001</v>
      </c>
    </row>
    <row r="17" spans="1:16" ht="33.75" customHeight="1" x14ac:dyDescent="0.25">
      <c r="A17" s="21" t="s">
        <v>48</v>
      </c>
      <c r="B17" s="25" t="s">
        <v>24</v>
      </c>
      <c r="C17" s="2">
        <v>0.04</v>
      </c>
      <c r="D17" s="5">
        <f t="shared" si="6"/>
        <v>3078.768</v>
      </c>
      <c r="E17" s="5">
        <v>0.04</v>
      </c>
      <c r="F17" s="5">
        <f t="shared" si="8"/>
        <v>3066.096</v>
      </c>
      <c r="G17" s="5">
        <v>0.04</v>
      </c>
      <c r="H17" s="5">
        <f t="shared" si="9"/>
        <v>3118.7135999999996</v>
      </c>
      <c r="I17" s="5">
        <v>0.04</v>
      </c>
      <c r="J17" s="5">
        <f t="shared" ref="J17:J20" si="10">I17*9*$I$5</f>
        <v>8641.4435999999987</v>
      </c>
      <c r="K17" s="39">
        <f t="shared" si="2"/>
        <v>17905.021199999996</v>
      </c>
      <c r="L17" s="42"/>
      <c r="M17" s="48">
        <f>'Смета 2015 88,90,92'!M16+'Смета 2015 86'!M16</f>
        <v>25873.8</v>
      </c>
      <c r="N17" s="48">
        <f>'Смета 2015 88,90,92'!N16+'Смета 2015 86'!N16</f>
        <v>5500</v>
      </c>
      <c r="O17" s="24">
        <f>L17+M17+N17</f>
        <v>31373.8</v>
      </c>
      <c r="P17" s="52">
        <f t="shared" si="3"/>
        <v>-13468.778800000004</v>
      </c>
    </row>
    <row r="18" spans="1:16" ht="33.75" customHeight="1" x14ac:dyDescent="0.25">
      <c r="A18" s="21" t="s">
        <v>49</v>
      </c>
      <c r="B18" s="25" t="s">
        <v>25</v>
      </c>
      <c r="C18" s="2">
        <v>0.33</v>
      </c>
      <c r="D18" s="5">
        <f t="shared" si="6"/>
        <v>25399.836000000003</v>
      </c>
      <c r="E18" s="5">
        <v>0.33</v>
      </c>
      <c r="F18" s="5">
        <f t="shared" si="8"/>
        <v>25295.291999999998</v>
      </c>
      <c r="G18" s="5">
        <v>0.33</v>
      </c>
      <c r="H18" s="5">
        <f t="shared" si="9"/>
        <v>25729.387199999997</v>
      </c>
      <c r="I18" s="5">
        <v>0.33</v>
      </c>
      <c r="J18" s="5">
        <f t="shared" si="10"/>
        <v>71291.909700000004</v>
      </c>
      <c r="K18" s="39">
        <f t="shared" si="2"/>
        <v>147716.42489999998</v>
      </c>
      <c r="L18" s="48">
        <f>'Смета 2015 88,90,92'!L17+'Смета 2015 86'!L17</f>
        <v>99301</v>
      </c>
      <c r="M18" s="48">
        <f>'Смета 2015 88,90,92'!M17+'Смета 2015 86'!M17</f>
        <v>22416.15</v>
      </c>
      <c r="N18" s="48"/>
      <c r="O18" s="24">
        <f t="shared" si="7"/>
        <v>121717.15</v>
      </c>
      <c r="P18" s="52">
        <f t="shared" si="3"/>
        <v>25999.274899999989</v>
      </c>
    </row>
    <row r="19" spans="1:16" ht="33.75" customHeight="1" x14ac:dyDescent="0.25">
      <c r="A19" s="21" t="s">
        <v>50</v>
      </c>
      <c r="B19" s="25" t="s">
        <v>26</v>
      </c>
      <c r="C19" s="2">
        <v>0.08</v>
      </c>
      <c r="D19" s="5">
        <f t="shared" si="6"/>
        <v>6157.5360000000001</v>
      </c>
      <c r="E19" s="5">
        <v>0.08</v>
      </c>
      <c r="F19" s="5">
        <f t="shared" si="8"/>
        <v>6132.192</v>
      </c>
      <c r="G19" s="5">
        <v>0.08</v>
      </c>
      <c r="H19" s="5">
        <f t="shared" si="9"/>
        <v>6237.4271999999992</v>
      </c>
      <c r="I19" s="5">
        <v>0.08</v>
      </c>
      <c r="J19" s="5">
        <f t="shared" si="10"/>
        <v>17282.887199999997</v>
      </c>
      <c r="K19" s="39">
        <f t="shared" si="2"/>
        <v>35810.042399999991</v>
      </c>
      <c r="L19" s="48">
        <f>'Смета 2015 88,90,92'!L18+'Смета 2015 86'!L18</f>
        <v>27038</v>
      </c>
      <c r="M19" s="48">
        <f>'Смета 2015 88,90,92'!M18+'Смета 2015 86'!M18</f>
        <v>155971.49251929147</v>
      </c>
      <c r="N19" s="48">
        <f>'Смета 2015 88,90,92'!N18+'Смета 2015 86'!N18</f>
        <v>8434.1299999999992</v>
      </c>
      <c r="O19" s="24">
        <f t="shared" si="7"/>
        <v>191443.62251929147</v>
      </c>
      <c r="P19" s="52">
        <f t="shared" si="3"/>
        <v>-155633.5801192915</v>
      </c>
    </row>
    <row r="20" spans="1:16" ht="33.75" customHeight="1" x14ac:dyDescent="0.25">
      <c r="A20" s="21" t="s">
        <v>51</v>
      </c>
      <c r="B20" s="25" t="s">
        <v>27</v>
      </c>
      <c r="C20" s="2">
        <v>0.06</v>
      </c>
      <c r="D20" s="5">
        <f t="shared" si="6"/>
        <v>4618.152</v>
      </c>
      <c r="E20" s="5">
        <v>0.06</v>
      </c>
      <c r="F20" s="5">
        <f t="shared" si="8"/>
        <v>4599.1439999999993</v>
      </c>
      <c r="G20" s="5">
        <v>0.06</v>
      </c>
      <c r="H20" s="5">
        <f t="shared" si="9"/>
        <v>4678.0703999999996</v>
      </c>
      <c r="I20" s="5">
        <v>0.06</v>
      </c>
      <c r="J20" s="5">
        <f t="shared" si="10"/>
        <v>12962.1654</v>
      </c>
      <c r="K20" s="39">
        <f t="shared" si="2"/>
        <v>26857.531799999997</v>
      </c>
      <c r="L20" s="48">
        <f>'Смета 2015 88,90,92'!L19+'Смета 2015 86'!L19</f>
        <v>62566</v>
      </c>
      <c r="M20" s="48"/>
      <c r="N20" s="48"/>
      <c r="O20" s="24">
        <f t="shared" si="7"/>
        <v>62566</v>
      </c>
      <c r="P20" s="52">
        <f t="shared" si="3"/>
        <v>-35708.468200000003</v>
      </c>
    </row>
    <row r="21" spans="1:16" ht="33.75" customHeight="1" x14ac:dyDescent="0.25">
      <c r="A21" s="21" t="s">
        <v>65</v>
      </c>
      <c r="B21" s="25" t="s">
        <v>75</v>
      </c>
      <c r="C21" s="2"/>
      <c r="D21" s="5"/>
      <c r="E21" s="5"/>
      <c r="F21" s="5"/>
      <c r="G21" s="5"/>
      <c r="H21" s="5"/>
      <c r="I21" s="5"/>
      <c r="J21" s="5"/>
      <c r="K21" s="39"/>
      <c r="L21" s="48">
        <f>'Смета 2015 88,90,92'!L20+'Смета 2015 86'!L20</f>
        <v>18000</v>
      </c>
      <c r="M21" s="48"/>
      <c r="N21" s="48"/>
      <c r="O21" s="24">
        <f t="shared" si="7"/>
        <v>18000</v>
      </c>
      <c r="P21" s="52">
        <f t="shared" si="3"/>
        <v>-18000</v>
      </c>
    </row>
    <row r="22" spans="1:16" ht="33.75" hidden="1" customHeight="1" x14ac:dyDescent="0.25">
      <c r="A22" s="21" t="s">
        <v>74</v>
      </c>
      <c r="B22" s="25" t="s">
        <v>80</v>
      </c>
      <c r="C22" s="2"/>
      <c r="D22" s="5"/>
      <c r="E22" s="5"/>
      <c r="F22" s="5"/>
      <c r="G22" s="5"/>
      <c r="H22" s="5"/>
      <c r="I22" s="5"/>
      <c r="J22" s="5"/>
      <c r="K22" s="39"/>
      <c r="L22" s="48"/>
      <c r="M22" s="48"/>
      <c r="N22" s="48"/>
      <c r="O22" s="24">
        <f t="shared" si="7"/>
        <v>0</v>
      </c>
      <c r="P22" s="52">
        <f t="shared" si="3"/>
        <v>0</v>
      </c>
    </row>
    <row r="23" spans="1:16" s="20" customFormat="1" ht="24" customHeight="1" x14ac:dyDescent="0.25">
      <c r="A23" s="45" t="s">
        <v>15</v>
      </c>
      <c r="B23" s="17" t="s">
        <v>2</v>
      </c>
      <c r="C23" s="1">
        <f>D23/C5/12</f>
        <v>12.596972451318189</v>
      </c>
      <c r="D23" s="18">
        <f>SUM(D24:D33)</f>
        <v>969578.89200000011</v>
      </c>
      <c r="E23" s="1">
        <f>F23/E5/12</f>
        <v>12.603844419744197</v>
      </c>
      <c r="F23" s="18">
        <f>SUM(F24:F33)</f>
        <v>966114.924</v>
      </c>
      <c r="G23" s="1">
        <f>H23/G5/12</f>
        <v>12.607415488232071</v>
      </c>
      <c r="H23" s="18">
        <f>SUM(H24:H33)</f>
        <v>982972.95359999989</v>
      </c>
      <c r="I23" s="1">
        <f>J23/I5/9</f>
        <v>12.597868047880334</v>
      </c>
      <c r="J23" s="18">
        <f>SUM(J24:J33)</f>
        <v>2721594.1554</v>
      </c>
      <c r="K23" s="33">
        <f t="shared" ref="K23:K34" si="11">D23+F23+H23+J23</f>
        <v>5640260.9250000007</v>
      </c>
      <c r="L23" s="46">
        <f>SUM(L24:L33)</f>
        <v>5698432.9500000002</v>
      </c>
      <c r="M23" s="46">
        <f>SUM(M24:M33)</f>
        <v>11881</v>
      </c>
      <c r="N23" s="46">
        <f>SUM(N24:N33)</f>
        <v>29386</v>
      </c>
      <c r="O23" s="19">
        <f t="shared" si="7"/>
        <v>5739699.9500000002</v>
      </c>
      <c r="P23" s="56">
        <f t="shared" si="3"/>
        <v>-99439.024999999441</v>
      </c>
    </row>
    <row r="24" spans="1:16" ht="27.75" customHeight="1" x14ac:dyDescent="0.25">
      <c r="A24" s="21" t="s">
        <v>21</v>
      </c>
      <c r="B24" s="25" t="s">
        <v>44</v>
      </c>
      <c r="C24" s="2">
        <v>11.01</v>
      </c>
      <c r="D24" s="5">
        <f>C24*12*C5</f>
        <v>847430.89200000011</v>
      </c>
      <c r="E24" s="5">
        <v>11.01</v>
      </c>
      <c r="F24" s="5">
        <f>E24*12*E5</f>
        <v>843942.924</v>
      </c>
      <c r="G24" s="5">
        <v>11.04</v>
      </c>
      <c r="H24" s="5">
        <f>G24*12*G5</f>
        <v>860764.95359999989</v>
      </c>
      <c r="I24" s="5">
        <v>11.06</v>
      </c>
      <c r="J24" s="5">
        <f>I24*9*I5</f>
        <v>2389359.1554</v>
      </c>
      <c r="K24" s="39">
        <f t="shared" si="11"/>
        <v>4941497.9250000007</v>
      </c>
      <c r="L24" s="48">
        <f>'Смета 2015 88,90,92'!L23+'Смета 2015 86'!L23</f>
        <v>4982370</v>
      </c>
      <c r="M24" s="48"/>
      <c r="N24" s="48"/>
      <c r="O24" s="24">
        <f>L24+M24+N24</f>
        <v>4982370</v>
      </c>
      <c r="P24" s="52">
        <f t="shared" si="3"/>
        <v>-40872.074999999255</v>
      </c>
    </row>
    <row r="25" spans="1:16" ht="27.75" customHeight="1" x14ac:dyDescent="0.25">
      <c r="A25" s="21" t="s">
        <v>22</v>
      </c>
      <c r="B25" s="22" t="s">
        <v>28</v>
      </c>
      <c r="C25" s="2">
        <v>1721</v>
      </c>
      <c r="D25" s="5">
        <f t="shared" ref="D25:D30" si="12">C25*12</f>
        <v>20652</v>
      </c>
      <c r="E25" s="3">
        <v>1722</v>
      </c>
      <c r="F25" s="5">
        <f t="shared" ref="F25:F30" si="13">E25*12</f>
        <v>20664</v>
      </c>
      <c r="G25" s="3">
        <v>1723</v>
      </c>
      <c r="H25" s="5">
        <f t="shared" ref="H25:H30" si="14">G25*12</f>
        <v>20676</v>
      </c>
      <c r="I25" s="5">
        <v>6108</v>
      </c>
      <c r="J25" s="5">
        <f t="shared" ref="J25:J30" si="15">I25*9</f>
        <v>54972</v>
      </c>
      <c r="K25" s="39">
        <f t="shared" si="11"/>
        <v>116964</v>
      </c>
      <c r="L25" s="49">
        <f>'Смета 2015 88,90,92'!L24+'Смета 2015 86'!L24</f>
        <v>37393</v>
      </c>
      <c r="M25" s="50"/>
      <c r="N25" s="50"/>
      <c r="O25" s="24">
        <f t="shared" si="7"/>
        <v>37393</v>
      </c>
      <c r="P25" s="52">
        <f t="shared" si="3"/>
        <v>79571</v>
      </c>
    </row>
    <row r="26" spans="1:16" ht="27.75" customHeight="1" x14ac:dyDescent="0.25">
      <c r="A26" s="21" t="s">
        <v>23</v>
      </c>
      <c r="B26" s="22" t="s">
        <v>29</v>
      </c>
      <c r="C26" s="2">
        <v>1680</v>
      </c>
      <c r="D26" s="5">
        <f t="shared" si="12"/>
        <v>20160</v>
      </c>
      <c r="E26" s="3">
        <v>1681</v>
      </c>
      <c r="F26" s="5">
        <f t="shared" si="13"/>
        <v>20172</v>
      </c>
      <c r="G26" s="3">
        <v>1682</v>
      </c>
      <c r="H26" s="5">
        <f t="shared" si="14"/>
        <v>20184</v>
      </c>
      <c r="I26" s="5">
        <v>6140</v>
      </c>
      <c r="J26" s="5">
        <f t="shared" si="15"/>
        <v>55260</v>
      </c>
      <c r="K26" s="39">
        <f t="shared" si="11"/>
        <v>115776</v>
      </c>
      <c r="L26" s="48">
        <f>'Смета 2015 88,90,92'!L25+'Смета 2015 86'!L25</f>
        <v>130164</v>
      </c>
      <c r="M26" s="48"/>
      <c r="N26" s="48"/>
      <c r="O26" s="24">
        <f t="shared" si="7"/>
        <v>130164</v>
      </c>
      <c r="P26" s="52">
        <f t="shared" si="3"/>
        <v>-14388</v>
      </c>
    </row>
    <row r="27" spans="1:16" ht="27.75" customHeight="1" x14ac:dyDescent="0.25">
      <c r="A27" s="21" t="s">
        <v>40</v>
      </c>
      <c r="B27" s="22" t="s">
        <v>30</v>
      </c>
      <c r="C27" s="2">
        <v>333</v>
      </c>
      <c r="D27" s="5">
        <f t="shared" si="12"/>
        <v>3996</v>
      </c>
      <c r="E27" s="5">
        <v>333</v>
      </c>
      <c r="F27" s="5">
        <f t="shared" si="13"/>
        <v>3996</v>
      </c>
      <c r="G27" s="5">
        <v>333</v>
      </c>
      <c r="H27" s="5">
        <f t="shared" si="14"/>
        <v>3996</v>
      </c>
      <c r="I27" s="5">
        <v>2500</v>
      </c>
      <c r="J27" s="5">
        <f t="shared" si="15"/>
        <v>22500</v>
      </c>
      <c r="K27" s="39">
        <f t="shared" si="11"/>
        <v>34488</v>
      </c>
      <c r="L27" s="48">
        <f>'Смета 2015 88,90,92'!L26+'Смета 2015 86'!L26</f>
        <v>11180</v>
      </c>
      <c r="M27" s="47"/>
      <c r="N27" s="48">
        <f>'Смета 2015 88,90,92'!N26+'Смета 2015 86'!N26</f>
        <v>8600</v>
      </c>
      <c r="O27" s="24">
        <f t="shared" si="7"/>
        <v>19780</v>
      </c>
      <c r="P27" s="52">
        <f t="shared" si="3"/>
        <v>14708</v>
      </c>
    </row>
    <row r="28" spans="1:16" ht="27.75" customHeight="1" x14ac:dyDescent="0.25">
      <c r="A28" s="21" t="s">
        <v>52</v>
      </c>
      <c r="B28" s="22" t="s">
        <v>31</v>
      </c>
      <c r="C28" s="2">
        <v>278</v>
      </c>
      <c r="D28" s="5">
        <f t="shared" si="12"/>
        <v>3336</v>
      </c>
      <c r="E28" s="5">
        <v>278</v>
      </c>
      <c r="F28" s="5">
        <f t="shared" si="13"/>
        <v>3336</v>
      </c>
      <c r="G28" s="5">
        <v>279</v>
      </c>
      <c r="H28" s="5">
        <f t="shared" si="14"/>
        <v>3348</v>
      </c>
      <c r="I28" s="5">
        <v>1000</v>
      </c>
      <c r="J28" s="5">
        <f t="shared" si="15"/>
        <v>9000</v>
      </c>
      <c r="K28" s="39">
        <f t="shared" si="11"/>
        <v>19020</v>
      </c>
      <c r="L28" s="48">
        <f>'Смета 2015 88,90,92'!L27+'Смета 2015 86'!L27</f>
        <v>68500</v>
      </c>
      <c r="M28" s="48"/>
      <c r="N28" s="48"/>
      <c r="O28" s="24">
        <f t="shared" si="7"/>
        <v>68500</v>
      </c>
      <c r="P28" s="52">
        <f t="shared" si="3"/>
        <v>-49480</v>
      </c>
    </row>
    <row r="29" spans="1:16" ht="27.75" customHeight="1" x14ac:dyDescent="0.25">
      <c r="A29" s="21" t="s">
        <v>53</v>
      </c>
      <c r="B29" s="22" t="s">
        <v>32</v>
      </c>
      <c r="C29" s="2">
        <v>6000</v>
      </c>
      <c r="D29" s="5">
        <f t="shared" si="12"/>
        <v>72000</v>
      </c>
      <c r="E29" s="3">
        <v>6000</v>
      </c>
      <c r="F29" s="5">
        <f t="shared" si="13"/>
        <v>72000</v>
      </c>
      <c r="G29" s="3">
        <v>6000</v>
      </c>
      <c r="H29" s="5">
        <f t="shared" si="14"/>
        <v>72000</v>
      </c>
      <c r="I29" s="5">
        <v>21000</v>
      </c>
      <c r="J29" s="5">
        <f t="shared" si="15"/>
        <v>189000</v>
      </c>
      <c r="K29" s="39">
        <f t="shared" si="11"/>
        <v>405000</v>
      </c>
      <c r="L29" s="48">
        <f>'Смета 2015 88,90,92'!L28+'Смета 2015 86'!L28</f>
        <v>228988.41000000003</v>
      </c>
      <c r="M29" s="48"/>
      <c r="N29" s="47"/>
      <c r="O29" s="24">
        <f t="shared" si="7"/>
        <v>228988.41000000003</v>
      </c>
      <c r="P29" s="52">
        <f t="shared" si="3"/>
        <v>176011.58999999997</v>
      </c>
    </row>
    <row r="30" spans="1:16" ht="27.75" customHeight="1" x14ac:dyDescent="0.25">
      <c r="A30" s="21" t="s">
        <v>54</v>
      </c>
      <c r="B30" s="22" t="s">
        <v>33</v>
      </c>
      <c r="C30" s="2">
        <v>167</v>
      </c>
      <c r="D30" s="5">
        <f t="shared" si="12"/>
        <v>2004</v>
      </c>
      <c r="E30" s="2">
        <v>167</v>
      </c>
      <c r="F30" s="5">
        <f t="shared" si="13"/>
        <v>2004</v>
      </c>
      <c r="G30" s="2">
        <v>167</v>
      </c>
      <c r="H30" s="5">
        <f t="shared" si="14"/>
        <v>2004</v>
      </c>
      <c r="I30" s="5">
        <v>167</v>
      </c>
      <c r="J30" s="5">
        <f t="shared" si="15"/>
        <v>1503</v>
      </c>
      <c r="K30" s="39">
        <f t="shared" si="11"/>
        <v>7515</v>
      </c>
      <c r="L30" s="47"/>
      <c r="M30" s="48">
        <f>'Смета 2015 88,90,92'!M29+'Смета 2015 86'!M29</f>
        <v>11502</v>
      </c>
      <c r="N30" s="48">
        <f>'Смета 2015 88,90,92'!N29+'Смета 2015 86'!N29</f>
        <v>20786</v>
      </c>
      <c r="O30" s="24">
        <f t="shared" si="7"/>
        <v>32288</v>
      </c>
      <c r="P30" s="52">
        <f t="shared" si="3"/>
        <v>-24773</v>
      </c>
    </row>
    <row r="31" spans="1:16" ht="27.75" customHeight="1" x14ac:dyDescent="0.25">
      <c r="A31" s="21" t="s">
        <v>55</v>
      </c>
      <c r="B31" s="22" t="s">
        <v>36</v>
      </c>
      <c r="C31" s="2"/>
      <c r="D31" s="5"/>
      <c r="E31" s="2"/>
      <c r="F31" s="5"/>
      <c r="G31" s="2"/>
      <c r="H31" s="5"/>
      <c r="I31" s="5"/>
      <c r="J31" s="5"/>
      <c r="K31" s="39"/>
      <c r="L31" s="48">
        <f>'Смета 2015 88,90,92'!L30+'Смета 2015 86'!L30</f>
        <v>5489.54</v>
      </c>
      <c r="M31" s="48">
        <f>'Смета 2015 88,90,92'!M30+'Смета 2015 86'!M30</f>
        <v>379.00000000000006</v>
      </c>
      <c r="N31" s="48"/>
      <c r="O31" s="24">
        <f t="shared" si="7"/>
        <v>5868.54</v>
      </c>
      <c r="P31" s="52">
        <f t="shared" si="3"/>
        <v>-5868.54</v>
      </c>
    </row>
    <row r="32" spans="1:16" ht="27.75" customHeight="1" x14ac:dyDescent="0.25">
      <c r="A32" s="21" t="s">
        <v>56</v>
      </c>
      <c r="B32" s="22" t="s">
        <v>82</v>
      </c>
      <c r="C32" s="2"/>
      <c r="D32" s="5"/>
      <c r="E32" s="2"/>
      <c r="F32" s="5"/>
      <c r="G32" s="2"/>
      <c r="H32" s="5"/>
      <c r="I32" s="5"/>
      <c r="J32" s="5"/>
      <c r="K32" s="39"/>
      <c r="L32" s="48">
        <v>104348</v>
      </c>
      <c r="M32" s="48"/>
      <c r="N32" s="48"/>
      <c r="O32" s="24">
        <f t="shared" si="7"/>
        <v>104348</v>
      </c>
      <c r="P32" s="72">
        <f t="shared" si="3"/>
        <v>-104348</v>
      </c>
    </row>
    <row r="33" spans="1:17" ht="27.75" customHeight="1" x14ac:dyDescent="0.25">
      <c r="A33" s="21" t="s">
        <v>59</v>
      </c>
      <c r="B33" s="22" t="s">
        <v>83</v>
      </c>
      <c r="C33" s="2"/>
      <c r="D33" s="5"/>
      <c r="E33" s="2"/>
      <c r="F33" s="5"/>
      <c r="G33" s="2"/>
      <c r="H33" s="5"/>
      <c r="I33" s="5"/>
      <c r="J33" s="5"/>
      <c r="K33" s="39"/>
      <c r="L33" s="48">
        <v>130000</v>
      </c>
      <c r="M33" s="48"/>
      <c r="N33" s="48"/>
      <c r="O33" s="24">
        <f t="shared" si="7"/>
        <v>130000</v>
      </c>
      <c r="P33" s="72">
        <f t="shared" si="3"/>
        <v>-130000</v>
      </c>
    </row>
    <row r="34" spans="1:17" ht="27.75" customHeight="1" x14ac:dyDescent="0.25">
      <c r="A34" s="21" t="s">
        <v>56</v>
      </c>
      <c r="B34" s="22" t="s">
        <v>76</v>
      </c>
      <c r="C34" s="2">
        <v>1.82</v>
      </c>
      <c r="D34" s="5">
        <f>C34*12*C5</f>
        <v>140083.94400000002</v>
      </c>
      <c r="E34" s="2">
        <v>1.82</v>
      </c>
      <c r="F34" s="5">
        <f>E34*12*E5</f>
        <v>139507.36799999999</v>
      </c>
      <c r="G34" s="2">
        <v>1.82</v>
      </c>
      <c r="H34" s="5">
        <f>G34*12*G5</f>
        <v>141901.4688</v>
      </c>
      <c r="I34" s="5">
        <v>1.82</v>
      </c>
      <c r="J34" s="5">
        <f>I34*9*I5</f>
        <v>393185.68379999994</v>
      </c>
      <c r="K34" s="39">
        <f t="shared" si="11"/>
        <v>814678.46460000006</v>
      </c>
      <c r="L34" s="48">
        <f>SUM(L35:L40)</f>
        <v>136459</v>
      </c>
      <c r="M34" s="48">
        <f t="shared" ref="M34:N34" si="16">SUM(M35:M40)</f>
        <v>61957</v>
      </c>
      <c r="N34" s="48">
        <f t="shared" si="16"/>
        <v>57780</v>
      </c>
      <c r="O34" s="24">
        <f>L34+M34+N34</f>
        <v>256196</v>
      </c>
      <c r="P34" s="52">
        <f>K34-O34</f>
        <v>558482.46460000006</v>
      </c>
    </row>
    <row r="35" spans="1:17" ht="37.5" customHeight="1" x14ac:dyDescent="0.25">
      <c r="A35" s="21" t="s">
        <v>91</v>
      </c>
      <c r="B35" s="22" t="s">
        <v>60</v>
      </c>
      <c r="C35" s="4"/>
      <c r="D35" s="5"/>
      <c r="E35" s="5"/>
      <c r="F35" s="5"/>
      <c r="G35" s="5"/>
      <c r="H35" s="5"/>
      <c r="I35" s="5"/>
      <c r="J35" s="5"/>
      <c r="K35" s="39"/>
      <c r="L35" s="48">
        <v>43315</v>
      </c>
      <c r="M35" s="48"/>
      <c r="N35" s="48"/>
      <c r="O35" s="24">
        <f t="shared" si="7"/>
        <v>43315</v>
      </c>
      <c r="P35" s="52">
        <f t="shared" si="3"/>
        <v>-43315</v>
      </c>
    </row>
    <row r="36" spans="1:17" ht="37.5" customHeight="1" x14ac:dyDescent="0.25">
      <c r="A36" s="21" t="s">
        <v>92</v>
      </c>
      <c r="B36" s="22" t="s">
        <v>77</v>
      </c>
      <c r="C36" s="4"/>
      <c r="D36" s="5"/>
      <c r="E36" s="5"/>
      <c r="F36" s="5"/>
      <c r="G36" s="5"/>
      <c r="H36" s="5"/>
      <c r="I36" s="5"/>
      <c r="J36" s="5"/>
      <c r="K36" s="39"/>
      <c r="L36" s="48"/>
      <c r="M36" s="48"/>
      <c r="N36" s="48">
        <v>25090</v>
      </c>
      <c r="O36" s="24">
        <f t="shared" si="7"/>
        <v>25090</v>
      </c>
      <c r="P36" s="52">
        <f t="shared" si="3"/>
        <v>-25090</v>
      </c>
    </row>
    <row r="37" spans="1:17" ht="37.5" customHeight="1" x14ac:dyDescent="0.25">
      <c r="A37" s="21" t="s">
        <v>93</v>
      </c>
      <c r="B37" s="22" t="s">
        <v>81</v>
      </c>
      <c r="C37" s="4"/>
      <c r="D37" s="5"/>
      <c r="E37" s="5"/>
      <c r="F37" s="5"/>
      <c r="G37" s="5"/>
      <c r="H37" s="5"/>
      <c r="I37" s="5"/>
      <c r="J37" s="5"/>
      <c r="K37" s="39"/>
      <c r="L37" s="48"/>
      <c r="M37" s="48"/>
      <c r="N37" s="48">
        <v>24990</v>
      </c>
      <c r="O37" s="24">
        <f t="shared" si="7"/>
        <v>24990</v>
      </c>
      <c r="P37" s="52">
        <f t="shared" si="3"/>
        <v>-24990</v>
      </c>
    </row>
    <row r="38" spans="1:17" ht="37.5" customHeight="1" x14ac:dyDescent="0.25">
      <c r="A38" s="21" t="s">
        <v>94</v>
      </c>
      <c r="B38" s="22" t="s">
        <v>79</v>
      </c>
      <c r="C38" s="4"/>
      <c r="D38" s="5"/>
      <c r="E38" s="5"/>
      <c r="F38" s="5"/>
      <c r="G38" s="5"/>
      <c r="H38" s="5"/>
      <c r="I38" s="5"/>
      <c r="J38" s="5"/>
      <c r="K38" s="39"/>
      <c r="L38" s="48">
        <v>2250</v>
      </c>
      <c r="M38" s="48">
        <f>6088+7751+18827+2211</f>
        <v>34877</v>
      </c>
      <c r="N38" s="48"/>
      <c r="O38" s="24">
        <f t="shared" si="7"/>
        <v>37127</v>
      </c>
      <c r="P38" s="52">
        <f t="shared" si="3"/>
        <v>-37127</v>
      </c>
    </row>
    <row r="39" spans="1:17" ht="37.5" customHeight="1" x14ac:dyDescent="0.25">
      <c r="A39" s="21" t="s">
        <v>179</v>
      </c>
      <c r="B39" s="22" t="s">
        <v>180</v>
      </c>
      <c r="C39" s="4"/>
      <c r="D39" s="5"/>
      <c r="E39" s="5"/>
      <c r="F39" s="5"/>
      <c r="G39" s="5"/>
      <c r="H39" s="5"/>
      <c r="I39" s="5"/>
      <c r="J39" s="5"/>
      <c r="K39" s="39"/>
      <c r="L39" s="48"/>
      <c r="M39" s="48">
        <v>27080</v>
      </c>
      <c r="N39" s="48"/>
      <c r="O39" s="24">
        <f t="shared" si="7"/>
        <v>27080</v>
      </c>
      <c r="P39" s="87"/>
    </row>
    <row r="40" spans="1:17" ht="37.5" customHeight="1" x14ac:dyDescent="0.25">
      <c r="A40" s="21" t="s">
        <v>95</v>
      </c>
      <c r="B40" s="22" t="s">
        <v>83</v>
      </c>
      <c r="C40" s="4"/>
      <c r="D40" s="5"/>
      <c r="E40" s="5"/>
      <c r="F40" s="5"/>
      <c r="G40" s="5"/>
      <c r="H40" s="5"/>
      <c r="I40" s="5"/>
      <c r="J40" s="5"/>
      <c r="K40" s="39"/>
      <c r="L40" s="48">
        <f>88804+2090</f>
        <v>90894</v>
      </c>
      <c r="M40" s="48"/>
      <c r="N40" s="48">
        <v>7700</v>
      </c>
      <c r="O40" s="24">
        <f t="shared" si="7"/>
        <v>98594</v>
      </c>
      <c r="P40" s="52">
        <f t="shared" si="3"/>
        <v>-98594</v>
      </c>
    </row>
    <row r="41" spans="1:17" ht="15" customHeight="1" x14ac:dyDescent="0.25">
      <c r="A41" s="21" t="s">
        <v>16</v>
      </c>
      <c r="B41" s="17" t="s">
        <v>4</v>
      </c>
      <c r="C41" s="2">
        <v>1.31</v>
      </c>
      <c r="D41" s="5">
        <f>C41*6359.2*12</f>
        <v>99966.623999999996</v>
      </c>
      <c r="E41" s="5">
        <v>1.31</v>
      </c>
      <c r="F41" s="5">
        <f>E41*6359.2*12</f>
        <v>99966.623999999996</v>
      </c>
      <c r="G41" s="5">
        <v>1.31</v>
      </c>
      <c r="H41" s="5">
        <f>G41*6359.2*12</f>
        <v>99966.623999999996</v>
      </c>
      <c r="I41" s="57">
        <v>2.8849999999999998</v>
      </c>
      <c r="J41" s="5">
        <f>I41*9*24003</f>
        <v>623237.8949999999</v>
      </c>
      <c r="K41" s="33">
        <f>D41+F41+H41+J41</f>
        <v>923137.76699999988</v>
      </c>
      <c r="L41" s="48">
        <v>923311</v>
      </c>
      <c r="M41" s="48"/>
      <c r="N41" s="48"/>
      <c r="O41" s="19">
        <f t="shared" si="7"/>
        <v>923311</v>
      </c>
      <c r="P41" s="56">
        <f t="shared" si="3"/>
        <v>-173.23300000012387</v>
      </c>
    </row>
    <row r="42" spans="1:17" ht="15" customHeight="1" x14ac:dyDescent="0.25">
      <c r="A42" s="21" t="s">
        <v>17</v>
      </c>
      <c r="B42" s="17" t="s">
        <v>5</v>
      </c>
      <c r="C42" s="2">
        <v>36</v>
      </c>
      <c r="D42" s="5">
        <f>C42*12*84</f>
        <v>36288</v>
      </c>
      <c r="E42" s="5">
        <v>36</v>
      </c>
      <c r="F42" s="5">
        <f>E42*12*81</f>
        <v>34992</v>
      </c>
      <c r="G42" s="5">
        <v>35</v>
      </c>
      <c r="H42" s="5">
        <f>G42*12*84</f>
        <v>35280</v>
      </c>
      <c r="I42" s="5">
        <v>0.48</v>
      </c>
      <c r="J42" s="5">
        <f>I42*9*I5</f>
        <v>103697.3232</v>
      </c>
      <c r="K42" s="33">
        <f>D42+F42+H42+J42</f>
        <v>210257.32319999998</v>
      </c>
      <c r="L42" s="48">
        <v>151018</v>
      </c>
      <c r="M42" s="48"/>
      <c r="N42" s="48"/>
      <c r="O42" s="19">
        <f t="shared" si="7"/>
        <v>151018</v>
      </c>
      <c r="P42" s="56">
        <f t="shared" si="3"/>
        <v>59239.323199999984</v>
      </c>
    </row>
    <row r="43" spans="1:17" ht="15" customHeight="1" x14ac:dyDescent="0.25">
      <c r="A43" s="21" t="s">
        <v>18</v>
      </c>
      <c r="B43" s="17" t="s">
        <v>6</v>
      </c>
      <c r="C43" s="2">
        <v>2.63</v>
      </c>
      <c r="D43" s="5">
        <f>C43*12*C5</f>
        <v>202428.99600000001</v>
      </c>
      <c r="E43" s="5">
        <v>2.63</v>
      </c>
      <c r="F43" s="5">
        <f>E43*12*E5</f>
        <v>201595.81199999998</v>
      </c>
      <c r="G43" s="5">
        <v>2.63</v>
      </c>
      <c r="H43" s="5">
        <f>G43*12*G5</f>
        <v>205055.41919999997</v>
      </c>
      <c r="I43" s="5">
        <v>2.76</v>
      </c>
      <c r="J43" s="5">
        <f>I43*9*I5</f>
        <v>596259.60839999991</v>
      </c>
      <c r="K43" s="33">
        <f>D43+F43+H43+J43</f>
        <v>1205339.8355999999</v>
      </c>
      <c r="L43" s="48">
        <f>933337+13325</f>
        <v>946662</v>
      </c>
      <c r="M43" s="48"/>
      <c r="N43" s="48"/>
      <c r="O43" s="19">
        <f t="shared" si="7"/>
        <v>946662</v>
      </c>
      <c r="P43" s="56">
        <f t="shared" si="3"/>
        <v>258677.83559999987</v>
      </c>
      <c r="Q43" s="12" t="s">
        <v>78</v>
      </c>
    </row>
    <row r="44" spans="1:17" ht="15" customHeight="1" x14ac:dyDescent="0.25">
      <c r="A44" s="21" t="s">
        <v>57</v>
      </c>
      <c r="B44" s="17" t="s">
        <v>3</v>
      </c>
      <c r="C44" s="2">
        <v>1</v>
      </c>
      <c r="D44" s="5">
        <f>C44*12*C5</f>
        <v>76969.200000000012</v>
      </c>
      <c r="E44" s="5">
        <v>1.5</v>
      </c>
      <c r="F44" s="5">
        <f>E44*12*E5</f>
        <v>114978.59999999999</v>
      </c>
      <c r="G44" s="5">
        <v>2</v>
      </c>
      <c r="H44" s="5">
        <f>G44*12*G5</f>
        <v>155935.67999999999</v>
      </c>
      <c r="I44" s="5">
        <v>2</v>
      </c>
      <c r="J44" s="5">
        <f>I44*9*I5</f>
        <v>432072.18</v>
      </c>
      <c r="K44" s="33">
        <f>D44+F44+H44+J44-F44</f>
        <v>664977.05999999994</v>
      </c>
      <c r="L44" s="48">
        <f>SUM(L45:L46)</f>
        <v>156696</v>
      </c>
      <c r="M44" s="48">
        <f t="shared" ref="M44:N44" si="17">SUM(M45:M46)</f>
        <v>0</v>
      </c>
      <c r="N44" s="48">
        <f t="shared" si="17"/>
        <v>0</v>
      </c>
      <c r="O44" s="19">
        <f t="shared" si="7"/>
        <v>156696</v>
      </c>
      <c r="P44" s="56">
        <f>K44-O44</f>
        <v>508281.05999999994</v>
      </c>
    </row>
    <row r="45" spans="1:17" ht="48" customHeight="1" x14ac:dyDescent="0.25">
      <c r="A45" s="21" t="s">
        <v>223</v>
      </c>
      <c r="B45" s="25" t="s">
        <v>224</v>
      </c>
      <c r="C45" s="2"/>
      <c r="D45" s="5"/>
      <c r="E45" s="5"/>
      <c r="F45" s="5"/>
      <c r="G45" s="5"/>
      <c r="H45" s="5"/>
      <c r="I45" s="5"/>
      <c r="J45" s="5"/>
      <c r="K45" s="33"/>
      <c r="L45" s="48">
        <f>'Смета 2015 88,90,92'!L45</f>
        <v>113164</v>
      </c>
      <c r="M45" s="48"/>
      <c r="N45" s="48"/>
      <c r="O45" s="19"/>
      <c r="P45" s="56"/>
    </row>
    <row r="46" spans="1:17" ht="28.5" customHeight="1" x14ac:dyDescent="0.25">
      <c r="A46" s="152" t="s">
        <v>672</v>
      </c>
      <c r="B46" s="25" t="s">
        <v>80</v>
      </c>
      <c r="C46" s="2"/>
      <c r="D46" s="5"/>
      <c r="E46" s="5"/>
      <c r="F46" s="5"/>
      <c r="G46" s="5"/>
      <c r="H46" s="5"/>
      <c r="I46" s="5"/>
      <c r="J46" s="5"/>
      <c r="K46" s="33"/>
      <c r="L46" s="48">
        <f>'Смета 2015 88,90,92'!L46</f>
        <v>43532</v>
      </c>
      <c r="M46" s="48"/>
      <c r="N46" s="48"/>
      <c r="O46" s="19"/>
      <c r="P46" s="56"/>
    </row>
    <row r="47" spans="1:17" ht="28.5" customHeight="1" x14ac:dyDescent="0.25">
      <c r="A47" s="21" t="s">
        <v>84</v>
      </c>
      <c r="B47" s="17" t="s">
        <v>669</v>
      </c>
      <c r="C47" s="2"/>
      <c r="D47" s="5"/>
      <c r="E47" s="5"/>
      <c r="F47" s="5"/>
      <c r="G47" s="5"/>
      <c r="H47" s="5"/>
      <c r="I47" s="5"/>
      <c r="J47" s="5"/>
      <c r="K47" s="33">
        <f>'Смета 2015 88,90,92'!K48+'Смета 2015 86'!K44</f>
        <v>178988</v>
      </c>
      <c r="L47" s="48"/>
      <c r="M47" s="48"/>
      <c r="N47" s="48"/>
      <c r="O47" s="19">
        <f>SUM(L47:N47)</f>
        <v>0</v>
      </c>
      <c r="P47" s="56">
        <f>K47-O47</f>
        <v>178988</v>
      </c>
    </row>
    <row r="48" spans="1:17" ht="15" customHeight="1" x14ac:dyDescent="0.25">
      <c r="B48" s="17"/>
      <c r="C48" s="2"/>
      <c r="D48" s="5"/>
      <c r="E48" s="5"/>
      <c r="F48" s="5"/>
      <c r="G48" s="5"/>
      <c r="H48" s="5"/>
      <c r="I48" s="5"/>
      <c r="J48" s="5"/>
      <c r="K48" s="33"/>
      <c r="L48" s="48"/>
      <c r="M48" s="48"/>
      <c r="N48" s="48"/>
      <c r="O48" s="19"/>
      <c r="P48" s="56"/>
    </row>
    <row r="49" spans="1:16" ht="25.5" customHeight="1" x14ac:dyDescent="0.25">
      <c r="A49" s="21" t="s">
        <v>88</v>
      </c>
      <c r="B49" s="17" t="s">
        <v>85</v>
      </c>
      <c r="C49" s="2"/>
      <c r="D49" s="5"/>
      <c r="E49" s="5"/>
      <c r="F49" s="5"/>
      <c r="G49" s="5"/>
      <c r="H49" s="5"/>
      <c r="I49" s="5"/>
      <c r="J49" s="5"/>
      <c r="K49" s="39"/>
      <c r="L49" s="48"/>
      <c r="M49" s="48"/>
      <c r="N49" s="48"/>
      <c r="O49" s="19"/>
      <c r="P49" s="52"/>
    </row>
    <row r="50" spans="1:16" ht="27" customHeight="1" x14ac:dyDescent="0.25">
      <c r="A50" s="21" t="s">
        <v>673</v>
      </c>
      <c r="B50" s="25" t="s">
        <v>1</v>
      </c>
      <c r="C50" s="2"/>
      <c r="D50" s="5"/>
      <c r="E50" s="5"/>
      <c r="F50" s="5"/>
      <c r="G50" s="5"/>
      <c r="H50" s="5"/>
      <c r="I50" s="5"/>
      <c r="J50" s="5"/>
      <c r="K50" s="39"/>
      <c r="L50" s="48"/>
      <c r="M50" s="48"/>
      <c r="N50" s="47"/>
      <c r="O50" s="19"/>
      <c r="P50" s="52">
        <f>P14</f>
        <v>-211563.41981929151</v>
      </c>
    </row>
    <row r="51" spans="1:16" ht="27" customHeight="1" x14ac:dyDescent="0.25">
      <c r="A51" s="21" t="s">
        <v>673</v>
      </c>
      <c r="B51" s="22" t="s">
        <v>82</v>
      </c>
      <c r="C51" s="2"/>
      <c r="D51" s="5"/>
      <c r="E51" s="5"/>
      <c r="F51" s="5"/>
      <c r="G51" s="5"/>
      <c r="H51" s="5"/>
      <c r="I51" s="5"/>
      <c r="J51" s="5"/>
      <c r="K51" s="39"/>
      <c r="L51" s="48"/>
      <c r="M51" s="48"/>
      <c r="N51" s="47"/>
      <c r="O51" s="19"/>
      <c r="P51" s="72">
        <f>P32</f>
        <v>-104348</v>
      </c>
    </row>
    <row r="52" spans="1:16" ht="27" customHeight="1" x14ac:dyDescent="0.25">
      <c r="A52" s="21" t="s">
        <v>673</v>
      </c>
      <c r="B52" s="22" t="s">
        <v>83</v>
      </c>
      <c r="C52" s="2"/>
      <c r="D52" s="5"/>
      <c r="E52" s="5"/>
      <c r="F52" s="5"/>
      <c r="G52" s="5"/>
      <c r="H52" s="5"/>
      <c r="I52" s="5"/>
      <c r="J52" s="5"/>
      <c r="K52" s="39"/>
      <c r="L52" s="48"/>
      <c r="M52" s="48"/>
      <c r="N52" s="47"/>
      <c r="O52" s="19"/>
      <c r="P52" s="72">
        <f>P33</f>
        <v>-130000</v>
      </c>
    </row>
    <row r="53" spans="1:16" ht="27" customHeight="1" x14ac:dyDescent="0.25">
      <c r="A53" s="590" t="s">
        <v>87</v>
      </c>
      <c r="B53" s="590"/>
      <c r="C53" s="2"/>
      <c r="D53" s="5"/>
      <c r="E53" s="5"/>
      <c r="F53" s="5"/>
      <c r="G53" s="5"/>
      <c r="H53" s="5"/>
      <c r="I53" s="5"/>
      <c r="J53" s="5"/>
      <c r="K53" s="39"/>
      <c r="L53" s="48"/>
      <c r="M53" s="48"/>
      <c r="N53" s="47"/>
      <c r="O53" s="19"/>
      <c r="P53" s="56">
        <f>SUM(P50:P52)</f>
        <v>-445911.41981929151</v>
      </c>
    </row>
    <row r="54" spans="1:16" ht="27" customHeight="1" x14ac:dyDescent="0.25">
      <c r="A54" s="21" t="s">
        <v>674</v>
      </c>
      <c r="B54" s="63" t="s">
        <v>89</v>
      </c>
      <c r="C54" s="2"/>
      <c r="D54" s="5"/>
      <c r="E54" s="5"/>
      <c r="F54" s="5"/>
      <c r="G54" s="5"/>
      <c r="H54" s="5"/>
      <c r="I54" s="5"/>
      <c r="J54" s="5"/>
      <c r="K54" s="39"/>
      <c r="L54" s="48"/>
      <c r="M54" s="48"/>
      <c r="N54" s="47"/>
      <c r="O54" s="19"/>
      <c r="P54" s="56"/>
    </row>
    <row r="55" spans="1:16" ht="27" customHeight="1" x14ac:dyDescent="0.25">
      <c r="A55" s="21" t="s">
        <v>675</v>
      </c>
      <c r="B55" s="25" t="s">
        <v>2</v>
      </c>
      <c r="C55" s="2"/>
      <c r="D55" s="5"/>
      <c r="E55" s="5"/>
      <c r="F55" s="5"/>
      <c r="G55" s="5"/>
      <c r="H55" s="5"/>
      <c r="I55" s="5"/>
      <c r="J55" s="5"/>
      <c r="K55" s="39"/>
      <c r="L55" s="48"/>
      <c r="M55" s="48"/>
      <c r="N55" s="47"/>
      <c r="O55" s="19"/>
      <c r="P55" s="56">
        <f>P56+P57</f>
        <v>255582.58999999997</v>
      </c>
    </row>
    <row r="56" spans="1:16" ht="27" customHeight="1" x14ac:dyDescent="0.25">
      <c r="A56" s="21" t="s">
        <v>676</v>
      </c>
      <c r="B56" s="22" t="s">
        <v>32</v>
      </c>
      <c r="C56" s="2"/>
      <c r="D56" s="5"/>
      <c r="E56" s="5"/>
      <c r="F56" s="5"/>
      <c r="G56" s="5"/>
      <c r="H56" s="5"/>
      <c r="I56" s="5"/>
      <c r="J56" s="5"/>
      <c r="K56" s="39"/>
      <c r="L56" s="48"/>
      <c r="M56" s="48"/>
      <c r="N56" s="47"/>
      <c r="O56" s="19"/>
      <c r="P56" s="52">
        <f>P29</f>
        <v>176011.58999999997</v>
      </c>
    </row>
    <row r="57" spans="1:16" ht="27" customHeight="1" x14ac:dyDescent="0.25">
      <c r="A57" s="21" t="s">
        <v>677</v>
      </c>
      <c r="B57" s="22" t="s">
        <v>28</v>
      </c>
      <c r="C57" s="2"/>
      <c r="D57" s="5"/>
      <c r="E57" s="5"/>
      <c r="F57" s="5"/>
      <c r="G57" s="5"/>
      <c r="H57" s="5"/>
      <c r="I57" s="5"/>
      <c r="J57" s="5"/>
      <c r="K57" s="39"/>
      <c r="L57" s="48"/>
      <c r="M57" s="48"/>
      <c r="N57" s="47"/>
      <c r="O57" s="19"/>
      <c r="P57" s="52">
        <f>P25</f>
        <v>79571</v>
      </c>
    </row>
    <row r="58" spans="1:16" ht="27" customHeight="1" x14ac:dyDescent="0.25">
      <c r="A58" s="21" t="s">
        <v>678</v>
      </c>
      <c r="B58" s="22" t="s">
        <v>6</v>
      </c>
      <c r="C58" s="2"/>
      <c r="D58" s="5"/>
      <c r="E58" s="5"/>
      <c r="F58" s="5"/>
      <c r="G58" s="5"/>
      <c r="H58" s="5"/>
      <c r="I58" s="5"/>
      <c r="J58" s="5"/>
      <c r="K58" s="39"/>
      <c r="L58" s="48"/>
      <c r="M58" s="48"/>
      <c r="N58" s="47"/>
      <c r="O58" s="19"/>
      <c r="P58" s="56">
        <f>P43</f>
        <v>258677.83559999987</v>
      </c>
    </row>
    <row r="59" spans="1:16" ht="27" customHeight="1" x14ac:dyDescent="0.25">
      <c r="A59" s="21" t="s">
        <v>679</v>
      </c>
      <c r="B59" s="22" t="s">
        <v>5</v>
      </c>
      <c r="C59" s="2"/>
      <c r="D59" s="5"/>
      <c r="E59" s="5"/>
      <c r="F59" s="5"/>
      <c r="G59" s="5"/>
      <c r="H59" s="5"/>
      <c r="I59" s="5"/>
      <c r="J59" s="5"/>
      <c r="K59" s="39"/>
      <c r="L59" s="48"/>
      <c r="M59" s="48"/>
      <c r="N59" s="47"/>
      <c r="O59" s="19"/>
      <c r="P59" s="56">
        <f>P42</f>
        <v>59239.323199999984</v>
      </c>
    </row>
    <row r="60" spans="1:16" ht="27" customHeight="1" x14ac:dyDescent="0.25">
      <c r="A60" s="591" t="s">
        <v>87</v>
      </c>
      <c r="B60" s="592"/>
      <c r="C60" s="2"/>
      <c r="D60" s="5"/>
      <c r="E60" s="5"/>
      <c r="F60" s="5"/>
      <c r="G60" s="5"/>
      <c r="H60" s="5"/>
      <c r="I60" s="5"/>
      <c r="J60" s="5"/>
      <c r="K60" s="39"/>
      <c r="L60" s="48"/>
      <c r="M60" s="48"/>
      <c r="N60" s="47"/>
      <c r="O60" s="19"/>
      <c r="P60" s="56">
        <f>P55+P58+P59</f>
        <v>573499.74879999983</v>
      </c>
    </row>
    <row r="61" spans="1:16" s="28" customFormat="1" ht="45" customHeight="1" x14ac:dyDescent="0.25">
      <c r="A61" s="26"/>
      <c r="B61" s="27" t="s">
        <v>61</v>
      </c>
      <c r="C61" s="18">
        <f>D61/C5/12</f>
        <v>19.047221122215124</v>
      </c>
      <c r="D61" s="18">
        <f>D10+D14+D23+D41+D42+D43+D44</f>
        <v>1466049.3720000002</v>
      </c>
      <c r="E61" s="18">
        <f>F61/E5/12</f>
        <v>19.544501933403261</v>
      </c>
      <c r="F61" s="18">
        <f>F10+F14+F23+F41+F42+F43+F44</f>
        <v>1498132.98</v>
      </c>
      <c r="G61" s="18">
        <f>H61/G5/12</f>
        <v>20.022061773161855</v>
      </c>
      <c r="H61" s="18">
        <f>H10+H14+H23+H41+H42+H43+H44</f>
        <v>1561076.9087999999</v>
      </c>
      <c r="I61" s="18">
        <f>J61/I5/9</f>
        <v>21.772746657745937</v>
      </c>
      <c r="J61" s="18">
        <f>J10+J14+J23+J41+J42+J43+J44</f>
        <v>4703699.0564999999</v>
      </c>
      <c r="K61" s="33">
        <f>K10+K14+K23+K41+K42+K43</f>
        <v>8449002.657300001</v>
      </c>
      <c r="L61" s="51">
        <f>L10+L14+L23+L41+L42+L43</f>
        <v>8138243.9500000002</v>
      </c>
      <c r="M61" s="51">
        <f>M10+M14+M23+M41+M42+M43</f>
        <v>247406.5696080123</v>
      </c>
      <c r="N61" s="51">
        <f>N10+N14+N23+N41+N42+N43</f>
        <v>50320.140032464304</v>
      </c>
      <c r="O61" s="19">
        <f>O10+O14+O23+O41+O42+O43</f>
        <v>8435970.6596404761</v>
      </c>
      <c r="P61" s="56">
        <f t="shared" si="3"/>
        <v>13031.997659524903</v>
      </c>
    </row>
    <row r="62" spans="1:16" s="11" customFormat="1" ht="16.5" customHeight="1" x14ac:dyDescent="0.25">
      <c r="A62" s="6"/>
      <c r="B62" s="7"/>
      <c r="C62" s="40"/>
      <c r="D62" s="58"/>
      <c r="E62" s="40"/>
      <c r="F62" s="40"/>
      <c r="G62" s="40"/>
      <c r="H62" s="40"/>
      <c r="I62" s="40"/>
      <c r="J62" s="40"/>
      <c r="K62" s="40"/>
      <c r="L62" s="42"/>
      <c r="M62" s="42"/>
      <c r="N62" s="42"/>
      <c r="O62" s="42"/>
      <c r="P62" s="42"/>
    </row>
    <row r="63" spans="1:16" s="11" customFormat="1" ht="19.5" customHeight="1" x14ac:dyDescent="0.25">
      <c r="A63" s="6"/>
      <c r="B63" s="7"/>
      <c r="C63" s="40"/>
      <c r="D63" s="58"/>
      <c r="E63" s="40"/>
      <c r="F63" s="40"/>
      <c r="G63" s="40"/>
      <c r="H63" s="40"/>
      <c r="I63" s="40"/>
      <c r="J63" s="40"/>
      <c r="K63" s="40"/>
      <c r="L63" s="42"/>
      <c r="M63" s="42"/>
      <c r="N63" s="42"/>
      <c r="O63" s="42"/>
      <c r="P63" s="42"/>
    </row>
    <row r="64" spans="1:16" s="31" customFormat="1" ht="12" hidden="1" customHeight="1" x14ac:dyDescent="0.25">
      <c r="A64" s="29"/>
      <c r="B64" s="30" t="s">
        <v>64</v>
      </c>
      <c r="C64" s="59"/>
      <c r="D64" s="60" t="s">
        <v>62</v>
      </c>
      <c r="E64" s="61"/>
      <c r="F64" s="62">
        <f>D61+F61+H61</f>
        <v>4525259.2608000003</v>
      </c>
      <c r="G64" s="41"/>
      <c r="H64" s="41"/>
      <c r="I64" s="59" t="s">
        <v>63</v>
      </c>
      <c r="J64" s="62">
        <f>J61</f>
        <v>4703699.0564999999</v>
      </c>
      <c r="K64" s="43">
        <f>F64+J64</f>
        <v>9228958.3172999993</v>
      </c>
      <c r="L64" s="44"/>
      <c r="M64" s="44"/>
      <c r="N64" s="44"/>
      <c r="O64" s="44"/>
      <c r="P64" s="44"/>
    </row>
    <row r="65" spans="1:16" s="31" customFormat="1" ht="12" customHeight="1" x14ac:dyDescent="0.25">
      <c r="A65" s="29"/>
      <c r="B65" s="30"/>
      <c r="C65" s="69"/>
      <c r="D65" s="70"/>
      <c r="E65" s="69"/>
      <c r="F65" s="71"/>
      <c r="G65" s="41"/>
      <c r="H65" s="41"/>
      <c r="I65" s="69"/>
      <c r="J65" s="71"/>
      <c r="K65" s="43"/>
      <c r="L65" s="44"/>
      <c r="M65" s="44"/>
      <c r="N65" s="44"/>
      <c r="O65" s="44"/>
      <c r="P65" s="44"/>
    </row>
    <row r="66" spans="1:16" s="31" customFormat="1" ht="12" customHeight="1" x14ac:dyDescent="0.25">
      <c r="A66" s="593" t="s">
        <v>112</v>
      </c>
      <c r="B66" s="593"/>
      <c r="C66" s="593"/>
      <c r="D66" s="593"/>
      <c r="E66" s="593"/>
      <c r="F66" s="593"/>
      <c r="G66" s="593"/>
      <c r="H66" s="41"/>
      <c r="I66" s="69"/>
      <c r="J66" s="71"/>
      <c r="K66" s="43"/>
      <c r="L66" s="44"/>
      <c r="M66" s="44"/>
      <c r="N66" s="44"/>
      <c r="O66" s="44"/>
      <c r="P66" s="44"/>
    </row>
    <row r="67" spans="1:16" s="11" customFormat="1" x14ac:dyDescent="0.25">
      <c r="A67" s="6"/>
      <c r="B67" s="7"/>
      <c r="C67" s="40"/>
      <c r="D67" s="58"/>
      <c r="E67" s="40"/>
      <c r="F67" s="40"/>
      <c r="G67" s="40"/>
      <c r="H67" s="40"/>
      <c r="I67" s="40"/>
      <c r="J67" s="40"/>
      <c r="K67" s="40"/>
      <c r="L67" s="42"/>
      <c r="M67" s="42"/>
      <c r="N67" s="42"/>
      <c r="O67" s="42"/>
      <c r="P67" s="42"/>
    </row>
    <row r="68" spans="1:16" s="32" customFormat="1" ht="24" x14ac:dyDescent="0.25">
      <c r="A68" s="64" t="s">
        <v>96</v>
      </c>
      <c r="B68" s="65" t="s">
        <v>41</v>
      </c>
      <c r="C68" s="66" t="s">
        <v>98</v>
      </c>
      <c r="D68" s="67" t="s">
        <v>99</v>
      </c>
      <c r="E68" s="66" t="s">
        <v>100</v>
      </c>
      <c r="F68" s="66" t="s">
        <v>104</v>
      </c>
      <c r="G68" s="66" t="s">
        <v>105</v>
      </c>
      <c r="H68" s="40"/>
      <c r="I68" s="40"/>
      <c r="J68" s="40"/>
      <c r="K68" s="40"/>
      <c r="L68" s="42"/>
      <c r="M68" s="42"/>
      <c r="N68" s="42"/>
      <c r="O68" s="42"/>
      <c r="P68" s="42"/>
    </row>
    <row r="69" spans="1:16" s="32" customFormat="1" x14ac:dyDescent="0.25">
      <c r="A69" s="64" t="s">
        <v>13</v>
      </c>
      <c r="B69" s="65" t="s">
        <v>103</v>
      </c>
      <c r="C69" s="66" t="s">
        <v>67</v>
      </c>
      <c r="D69" s="67">
        <v>3000</v>
      </c>
      <c r="E69" s="66">
        <f>D69*8</f>
        <v>24000</v>
      </c>
      <c r="F69" s="66"/>
      <c r="G69" s="66"/>
      <c r="H69" s="40"/>
      <c r="I69" s="40"/>
      <c r="J69" s="40"/>
      <c r="K69" s="40"/>
      <c r="L69" s="42"/>
      <c r="M69" s="42"/>
      <c r="N69" s="42"/>
      <c r="O69" s="42"/>
      <c r="P69" s="42"/>
    </row>
    <row r="70" spans="1:16" s="32" customFormat="1" x14ac:dyDescent="0.25">
      <c r="A70" s="64" t="s">
        <v>14</v>
      </c>
      <c r="B70" s="65" t="s">
        <v>97</v>
      </c>
      <c r="C70" s="66" t="s">
        <v>67</v>
      </c>
      <c r="D70" s="67">
        <v>3000</v>
      </c>
      <c r="E70" s="66">
        <f>D70*12+9700</f>
        <v>45700</v>
      </c>
      <c r="F70" s="66"/>
      <c r="G70" s="66"/>
      <c r="H70" s="40"/>
      <c r="I70" s="40"/>
      <c r="J70" s="40"/>
      <c r="K70" s="40"/>
      <c r="L70" s="42"/>
      <c r="M70" s="42"/>
      <c r="N70" s="42"/>
      <c r="O70" s="42"/>
      <c r="P70" s="42"/>
    </row>
    <row r="71" spans="1:16" s="32" customFormat="1" x14ac:dyDescent="0.25">
      <c r="A71" s="64" t="s">
        <v>15</v>
      </c>
      <c r="B71" s="65" t="s">
        <v>101</v>
      </c>
      <c r="C71" s="66" t="s">
        <v>67</v>
      </c>
      <c r="D71" s="67">
        <v>3000</v>
      </c>
      <c r="E71" s="66">
        <f>D71*12</f>
        <v>36000</v>
      </c>
      <c r="F71" s="66"/>
      <c r="G71" s="66"/>
      <c r="H71" s="40"/>
      <c r="I71" s="40"/>
      <c r="J71" s="40"/>
      <c r="K71" s="40"/>
      <c r="L71" s="42"/>
      <c r="M71" s="42"/>
      <c r="N71" s="42"/>
      <c r="O71" s="42"/>
      <c r="P71" s="42"/>
    </row>
    <row r="72" spans="1:16" s="32" customFormat="1" x14ac:dyDescent="0.25">
      <c r="A72" s="64" t="s">
        <v>16</v>
      </c>
      <c r="B72" s="65" t="s">
        <v>102</v>
      </c>
      <c r="C72" s="66" t="s">
        <v>67</v>
      </c>
      <c r="D72" s="67">
        <v>1674</v>
      </c>
      <c r="E72" s="66">
        <f>D72*12</f>
        <v>20088</v>
      </c>
      <c r="F72" s="66"/>
      <c r="G72" s="66"/>
      <c r="H72" s="40"/>
      <c r="I72" s="40"/>
      <c r="J72" s="40"/>
      <c r="K72" s="40"/>
      <c r="L72" s="42"/>
      <c r="M72" s="42"/>
      <c r="N72" s="42"/>
      <c r="O72" s="42"/>
      <c r="P72" s="42"/>
    </row>
    <row r="73" spans="1:16" s="32" customFormat="1" x14ac:dyDescent="0.25">
      <c r="A73" s="64"/>
      <c r="B73" s="65"/>
      <c r="C73" s="66"/>
      <c r="D73" s="67"/>
      <c r="E73" s="66">
        <f>SUM(E69:E72)</f>
        <v>125788</v>
      </c>
      <c r="F73" s="66">
        <v>17830</v>
      </c>
      <c r="G73" s="66">
        <f>E73-F73</f>
        <v>107958</v>
      </c>
      <c r="H73" s="40"/>
      <c r="I73" s="40"/>
      <c r="J73" s="40"/>
      <c r="K73" s="40"/>
      <c r="L73" s="42"/>
      <c r="M73" s="42"/>
      <c r="N73" s="42"/>
      <c r="O73" s="42"/>
      <c r="P73" s="42"/>
    </row>
    <row r="74" spans="1:16" s="32" customFormat="1" x14ac:dyDescent="0.25">
      <c r="A74" s="64" t="s">
        <v>13</v>
      </c>
      <c r="B74" s="65" t="s">
        <v>103</v>
      </c>
      <c r="C74" s="66">
        <v>86</v>
      </c>
      <c r="E74" s="67">
        <f>3500*5</f>
        <v>17500</v>
      </c>
      <c r="F74" s="66"/>
      <c r="G74" s="66"/>
      <c r="H74" s="40"/>
      <c r="I74" s="40"/>
      <c r="J74" s="40"/>
      <c r="K74" s="40"/>
      <c r="L74" s="42"/>
      <c r="M74" s="42"/>
      <c r="N74" s="42"/>
      <c r="O74" s="42"/>
      <c r="P74" s="42"/>
    </row>
    <row r="75" spans="1:16" s="32" customFormat="1" x14ac:dyDescent="0.25">
      <c r="A75" s="64" t="s">
        <v>14</v>
      </c>
      <c r="B75" s="65" t="s">
        <v>106</v>
      </c>
      <c r="C75" s="66">
        <v>86</v>
      </c>
      <c r="D75" s="68"/>
      <c r="E75" s="66">
        <v>9000</v>
      </c>
      <c r="F75" s="66"/>
      <c r="G75" s="66"/>
      <c r="H75" s="40"/>
      <c r="I75" s="40"/>
      <c r="J75" s="40"/>
      <c r="K75" s="40"/>
      <c r="L75" s="42"/>
      <c r="M75" s="42"/>
      <c r="N75" s="42"/>
      <c r="O75" s="42"/>
      <c r="P75" s="42"/>
    </row>
    <row r="76" spans="1:16" s="11" customFormat="1" x14ac:dyDescent="0.25">
      <c r="A76" s="64" t="s">
        <v>15</v>
      </c>
      <c r="B76" s="65" t="s">
        <v>107</v>
      </c>
      <c r="C76" s="66">
        <v>86</v>
      </c>
      <c r="D76" s="67">
        <v>500</v>
      </c>
      <c r="E76" s="66">
        <f>D76*5</f>
        <v>2500</v>
      </c>
      <c r="F76" s="66"/>
      <c r="G76" s="66"/>
      <c r="H76" s="40"/>
      <c r="I76" s="40"/>
      <c r="J76" s="40"/>
      <c r="K76" s="40"/>
      <c r="L76" s="42"/>
      <c r="M76" s="42"/>
      <c r="N76" s="42"/>
      <c r="O76" s="42"/>
      <c r="P76" s="42"/>
    </row>
    <row r="77" spans="1:16" s="11" customFormat="1" x14ac:dyDescent="0.25">
      <c r="A77" s="64" t="s">
        <v>16</v>
      </c>
      <c r="B77" s="65" t="s">
        <v>108</v>
      </c>
      <c r="C77" s="66">
        <v>86</v>
      </c>
      <c r="D77" s="67">
        <v>500</v>
      </c>
      <c r="E77" s="66">
        <f>D77*5</f>
        <v>2500</v>
      </c>
      <c r="F77" s="66"/>
      <c r="G77" s="66"/>
      <c r="H77" s="40"/>
      <c r="I77" s="40"/>
      <c r="J77" s="40"/>
      <c r="K77" s="40"/>
      <c r="L77" s="42"/>
      <c r="M77" s="42"/>
      <c r="N77" s="42"/>
      <c r="O77" s="42"/>
      <c r="P77" s="42"/>
    </row>
    <row r="78" spans="1:16" s="11" customFormat="1" x14ac:dyDescent="0.25">
      <c r="A78" s="64" t="s">
        <v>17</v>
      </c>
      <c r="B78" s="65" t="s">
        <v>109</v>
      </c>
      <c r="C78" s="66">
        <v>86</v>
      </c>
      <c r="D78" s="67">
        <v>500</v>
      </c>
      <c r="E78" s="66">
        <f>D78*5</f>
        <v>2500</v>
      </c>
      <c r="F78" s="66"/>
      <c r="G78" s="66"/>
      <c r="H78" s="40"/>
      <c r="I78" s="40"/>
      <c r="J78" s="40"/>
      <c r="K78" s="40"/>
      <c r="L78" s="42"/>
      <c r="M78" s="42"/>
      <c r="N78" s="42"/>
      <c r="O78" s="42"/>
      <c r="P78" s="42"/>
    </row>
    <row r="79" spans="1:16" s="11" customFormat="1" x14ac:dyDescent="0.25">
      <c r="A79" s="64" t="s">
        <v>18</v>
      </c>
      <c r="B79" s="65" t="s">
        <v>110</v>
      </c>
      <c r="C79" s="66">
        <v>86</v>
      </c>
      <c r="D79" s="67">
        <v>500</v>
      </c>
      <c r="E79" s="66">
        <f>D79*4</f>
        <v>2000</v>
      </c>
      <c r="F79" s="66"/>
      <c r="G79" s="66"/>
      <c r="H79" s="40"/>
      <c r="I79" s="40"/>
      <c r="J79" s="40"/>
      <c r="K79" s="40"/>
      <c r="L79" s="42"/>
      <c r="M79" s="42"/>
      <c r="N79" s="42"/>
      <c r="O79" s="42"/>
      <c r="P79" s="42"/>
    </row>
    <row r="80" spans="1:16" s="11" customFormat="1" x14ac:dyDescent="0.25">
      <c r="A80" s="64" t="s">
        <v>57</v>
      </c>
      <c r="B80" s="65" t="s">
        <v>111</v>
      </c>
      <c r="C80" s="66">
        <v>86</v>
      </c>
      <c r="D80" s="67">
        <v>10000</v>
      </c>
      <c r="E80" s="66">
        <f>D80*1.5</f>
        <v>15000</v>
      </c>
      <c r="F80" s="66"/>
      <c r="G80" s="66"/>
      <c r="H80" s="40"/>
      <c r="I80" s="40"/>
      <c r="J80" s="40"/>
      <c r="K80" s="40"/>
      <c r="L80" s="42"/>
      <c r="M80" s="42"/>
      <c r="N80" s="42"/>
      <c r="O80" s="42"/>
      <c r="P80" s="42"/>
    </row>
    <row r="81" spans="1:16" s="11" customFormat="1" x14ac:dyDescent="0.25">
      <c r="A81" s="64" t="s">
        <v>84</v>
      </c>
      <c r="B81" s="65" t="s">
        <v>222</v>
      </c>
      <c r="C81" s="66">
        <v>86</v>
      </c>
      <c r="D81" s="67">
        <v>550</v>
      </c>
      <c r="E81" s="66">
        <f>D81*4</f>
        <v>2200</v>
      </c>
      <c r="F81" s="66"/>
      <c r="G81" s="66"/>
      <c r="H81" s="40"/>
      <c r="I81" s="40"/>
      <c r="J81" s="40"/>
      <c r="K81" s="40"/>
      <c r="L81" s="42"/>
      <c r="M81" s="42"/>
      <c r="N81" s="42"/>
      <c r="O81" s="42"/>
      <c r="P81" s="42"/>
    </row>
    <row r="82" spans="1:16" s="11" customFormat="1" x14ac:dyDescent="0.25">
      <c r="A82" s="64"/>
      <c r="B82" s="65"/>
      <c r="C82" s="66"/>
      <c r="D82" s="67"/>
      <c r="E82" s="67">
        <f>SUM(E74:E81)</f>
        <v>53200</v>
      </c>
      <c r="F82" s="66"/>
      <c r="G82" s="66">
        <f>E82-F82</f>
        <v>53200</v>
      </c>
      <c r="H82" s="40"/>
      <c r="I82" s="40"/>
      <c r="J82" s="40"/>
      <c r="K82" s="40"/>
      <c r="L82" s="42"/>
      <c r="M82" s="42"/>
      <c r="N82" s="42"/>
      <c r="O82" s="42"/>
      <c r="P82" s="42"/>
    </row>
    <row r="83" spans="1:16" s="11" customFormat="1" x14ac:dyDescent="0.25">
      <c r="A83" s="6"/>
      <c r="B83" s="7"/>
      <c r="C83" s="40"/>
      <c r="D83" s="58"/>
      <c r="E83" s="40"/>
      <c r="F83" s="40"/>
      <c r="G83" s="40"/>
      <c r="H83" s="40"/>
      <c r="I83" s="40"/>
      <c r="J83" s="40"/>
      <c r="K83" s="40"/>
      <c r="L83" s="42"/>
      <c r="M83" s="42"/>
      <c r="N83" s="42"/>
      <c r="O83" s="42"/>
      <c r="P83" s="42"/>
    </row>
    <row r="84" spans="1:16" s="11" customFormat="1" x14ac:dyDescent="0.25">
      <c r="A84" s="6"/>
      <c r="B84" s="7"/>
      <c r="C84" s="40"/>
      <c r="D84" s="58"/>
      <c r="E84" s="40"/>
      <c r="F84" s="40"/>
      <c r="G84" s="40"/>
      <c r="H84" s="40"/>
      <c r="I84" s="40"/>
      <c r="J84" s="40"/>
      <c r="K84" s="40"/>
      <c r="L84" s="42"/>
      <c r="M84" s="42"/>
      <c r="N84" s="42"/>
      <c r="O84" s="42"/>
      <c r="P84" s="42"/>
    </row>
    <row r="85" spans="1:16" s="11" customFormat="1" x14ac:dyDescent="0.25">
      <c r="A85" s="6"/>
      <c r="B85" s="7"/>
      <c r="C85" s="40"/>
      <c r="D85" s="58"/>
      <c r="E85" s="40"/>
      <c r="F85" s="40"/>
      <c r="G85" s="40"/>
      <c r="H85" s="40"/>
      <c r="I85" s="40"/>
      <c r="J85" s="40"/>
      <c r="K85" s="40"/>
      <c r="L85" s="42"/>
      <c r="M85" s="42"/>
      <c r="N85" s="42"/>
      <c r="O85" s="42"/>
      <c r="P85" s="42"/>
    </row>
    <row r="86" spans="1:16" s="11" customFormat="1" x14ac:dyDescent="0.25">
      <c r="A86" s="6"/>
      <c r="B86" s="7"/>
      <c r="C86" s="40"/>
      <c r="D86" s="58"/>
      <c r="E86" s="40"/>
      <c r="F86" s="40"/>
      <c r="G86" s="40"/>
      <c r="H86" s="40"/>
      <c r="I86" s="40"/>
      <c r="J86" s="40"/>
      <c r="K86" s="40"/>
      <c r="L86" s="42"/>
      <c r="M86" s="42"/>
      <c r="N86" s="42"/>
      <c r="O86" s="42"/>
      <c r="P86" s="42"/>
    </row>
    <row r="87" spans="1:16" s="11" customFormat="1" x14ac:dyDescent="0.25">
      <c r="A87" s="6"/>
      <c r="B87" s="7"/>
      <c r="C87" s="40"/>
      <c r="D87" s="58"/>
      <c r="E87" s="40"/>
      <c r="F87" s="40"/>
      <c r="G87" s="40"/>
      <c r="H87" s="40"/>
      <c r="I87" s="40"/>
      <c r="J87" s="40"/>
      <c r="K87" s="40"/>
      <c r="L87" s="42"/>
      <c r="M87" s="42"/>
      <c r="N87" s="42"/>
      <c r="O87" s="42"/>
      <c r="P87" s="42"/>
    </row>
    <row r="88" spans="1:16" s="11" customFormat="1" x14ac:dyDescent="0.25">
      <c r="A88" s="6"/>
      <c r="B88" s="7"/>
      <c r="C88" s="40"/>
      <c r="D88" s="58"/>
      <c r="E88" s="40"/>
      <c r="F88" s="40"/>
      <c r="G88" s="40"/>
      <c r="H88" s="40"/>
      <c r="I88" s="40"/>
      <c r="J88" s="40"/>
      <c r="K88" s="40"/>
      <c r="L88" s="42"/>
      <c r="M88" s="42"/>
      <c r="N88" s="42"/>
      <c r="O88" s="42"/>
      <c r="P88" s="42"/>
    </row>
    <row r="89" spans="1:16" s="32" customFormat="1" x14ac:dyDescent="0.25">
      <c r="A89" s="34"/>
      <c r="B89" s="35"/>
      <c r="C89" s="8"/>
      <c r="D89" s="9"/>
      <c r="E89" s="8"/>
      <c r="F89" s="8"/>
      <c r="G89" s="8"/>
      <c r="H89" s="8"/>
      <c r="I89" s="8"/>
      <c r="J89" s="8"/>
      <c r="K89" s="8"/>
      <c r="L89" s="36"/>
      <c r="M89" s="36"/>
      <c r="N89" s="36"/>
      <c r="O89" s="36"/>
      <c r="P89" s="36"/>
    </row>
    <row r="90" spans="1:16" s="32" customFormat="1" x14ac:dyDescent="0.25">
      <c r="A90" s="34"/>
      <c r="B90" s="35"/>
      <c r="C90" s="8"/>
      <c r="D90" s="9"/>
      <c r="E90" s="8"/>
      <c r="F90" s="8"/>
      <c r="G90" s="8"/>
      <c r="H90" s="8"/>
      <c r="I90" s="8"/>
      <c r="J90" s="8"/>
      <c r="K90" s="8"/>
      <c r="L90" s="36"/>
      <c r="M90" s="36"/>
      <c r="N90" s="36"/>
      <c r="O90" s="36"/>
      <c r="P90" s="36"/>
    </row>
    <row r="91" spans="1:16" s="32" customFormat="1" x14ac:dyDescent="0.25">
      <c r="A91" s="34"/>
      <c r="B91" s="35"/>
      <c r="C91" s="8"/>
      <c r="D91" s="9"/>
      <c r="E91" s="8"/>
      <c r="F91" s="8"/>
      <c r="G91" s="8"/>
      <c r="H91" s="8"/>
      <c r="I91" s="8"/>
      <c r="J91" s="8"/>
      <c r="K91" s="8"/>
      <c r="L91" s="36"/>
      <c r="M91" s="36"/>
      <c r="N91" s="36"/>
      <c r="O91" s="36"/>
      <c r="P91" s="36"/>
    </row>
    <row r="92" spans="1:16" s="32" customFormat="1" ht="6" customHeight="1" x14ac:dyDescent="0.25">
      <c r="A92" s="34"/>
      <c r="B92" s="35"/>
      <c r="C92" s="8"/>
      <c r="D92" s="9"/>
      <c r="E92" s="8"/>
      <c r="F92" s="8"/>
      <c r="G92" s="8"/>
      <c r="H92" s="8"/>
      <c r="I92" s="8"/>
      <c r="J92" s="8"/>
      <c r="K92" s="8"/>
      <c r="L92" s="36"/>
      <c r="M92" s="36"/>
      <c r="N92" s="36"/>
      <c r="O92" s="36"/>
      <c r="P92" s="36"/>
    </row>
    <row r="93" spans="1:16" s="32" customFormat="1" ht="12" hidden="1" customHeight="1" x14ac:dyDescent="0.25">
      <c r="A93" s="34"/>
      <c r="B93" s="35"/>
      <c r="C93" s="8"/>
      <c r="D93" s="9"/>
      <c r="E93" s="8"/>
      <c r="F93" s="8"/>
      <c r="G93" s="8"/>
      <c r="H93" s="8"/>
      <c r="I93" s="8"/>
      <c r="J93" s="8"/>
      <c r="K93" s="8"/>
      <c r="L93" s="36"/>
      <c r="M93" s="36"/>
      <c r="N93" s="36"/>
      <c r="O93" s="36"/>
      <c r="P93" s="36"/>
    </row>
    <row r="94" spans="1:16" s="32" customFormat="1" ht="11.25" customHeight="1" x14ac:dyDescent="0.25">
      <c r="A94" s="34"/>
      <c r="B94" s="35"/>
      <c r="C94" s="8"/>
      <c r="D94" s="9"/>
      <c r="E94" s="8"/>
      <c r="F94" s="8"/>
      <c r="G94" s="8"/>
      <c r="H94" s="8"/>
      <c r="I94" s="8"/>
      <c r="J94" s="8"/>
      <c r="K94" s="8"/>
      <c r="L94" s="36"/>
      <c r="M94" s="36"/>
      <c r="N94" s="36"/>
      <c r="O94" s="36"/>
      <c r="P94" s="36"/>
    </row>
    <row r="95" spans="1:16" s="11" customFormat="1" x14ac:dyDescent="0.25">
      <c r="A95" s="6"/>
      <c r="B95" s="7"/>
      <c r="C95" s="40"/>
      <c r="D95" s="58"/>
      <c r="E95" s="40"/>
      <c r="F95" s="40"/>
      <c r="G95" s="40"/>
      <c r="H95" s="40"/>
      <c r="I95" s="40"/>
      <c r="J95" s="40"/>
      <c r="K95" s="40"/>
      <c r="L95" s="42"/>
      <c r="M95" s="42"/>
      <c r="N95" s="42"/>
      <c r="O95" s="42"/>
      <c r="P95" s="42"/>
    </row>
    <row r="96" spans="1:16" s="11" customFormat="1" ht="409.5" customHeight="1" x14ac:dyDescent="0.25">
      <c r="A96" s="6"/>
      <c r="B96" s="7"/>
      <c r="C96" s="8"/>
      <c r="D96" s="9"/>
      <c r="E96" s="8"/>
      <c r="F96" s="8"/>
      <c r="G96" s="8"/>
      <c r="H96" s="8"/>
      <c r="I96" s="8"/>
      <c r="J96" s="8"/>
      <c r="K96" s="40"/>
      <c r="L96" s="42"/>
      <c r="M96" s="42"/>
      <c r="N96" s="42"/>
      <c r="O96" s="42"/>
      <c r="P96" s="42"/>
    </row>
  </sheetData>
  <mergeCells count="24">
    <mergeCell ref="L4:L8"/>
    <mergeCell ref="A2:P2"/>
    <mergeCell ref="P3:P8"/>
    <mergeCell ref="B4:B8"/>
    <mergeCell ref="C4:D4"/>
    <mergeCell ref="E4:F4"/>
    <mergeCell ref="G4:H4"/>
    <mergeCell ref="M4:M8"/>
    <mergeCell ref="N4:N8"/>
    <mergeCell ref="O4:O8"/>
    <mergeCell ref="A3:A9"/>
    <mergeCell ref="B3:K3"/>
    <mergeCell ref="L3:O3"/>
    <mergeCell ref="A53:B53"/>
    <mergeCell ref="A60:B60"/>
    <mergeCell ref="A66:G66"/>
    <mergeCell ref="I4:J4"/>
    <mergeCell ref="K4:K8"/>
    <mergeCell ref="I5:J5"/>
    <mergeCell ref="C5:D5"/>
    <mergeCell ref="E5:F5"/>
    <mergeCell ref="G5:H5"/>
    <mergeCell ref="C6:H6"/>
    <mergeCell ref="C7:H7"/>
  </mergeCells>
  <printOptions horizontalCentered="1"/>
  <pageMargins left="0.11811023622047245" right="0.11811023622047245" top="0.15748031496062992" bottom="0.15748031496062992" header="0" footer="0"/>
  <pageSetup paperSize="9" scale="76" orientation="landscape" r:id="rId1"/>
  <rowBreaks count="2" manualBreakCount="2">
    <brk id="27" max="16" man="1"/>
    <brk id="52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81"/>
  <sheetViews>
    <sheetView workbookViewId="0">
      <selection activeCell="S19" sqref="S19"/>
    </sheetView>
  </sheetViews>
  <sheetFormatPr defaultRowHeight="12" x14ac:dyDescent="0.25"/>
  <cols>
    <col min="1" max="1" width="5.5703125" style="21" customWidth="1"/>
    <col min="2" max="2" width="17.28515625" style="7" customWidth="1"/>
    <col min="3" max="3" width="9.5703125" style="8" hidden="1" customWidth="1"/>
    <col min="4" max="4" width="10.140625" style="9" hidden="1" customWidth="1"/>
    <col min="5" max="5" width="9.28515625" style="8" hidden="1" customWidth="1"/>
    <col min="6" max="6" width="9.7109375" style="8" hidden="1" customWidth="1"/>
    <col min="7" max="7" width="8.28515625" style="8" hidden="1" customWidth="1"/>
    <col min="8" max="8" width="10.28515625" style="8" hidden="1" customWidth="1"/>
    <col min="9" max="9" width="8.85546875" style="8" customWidth="1"/>
    <col min="10" max="10" width="9.85546875" style="8" customWidth="1"/>
    <col min="11" max="11" width="12.28515625" style="37" customWidth="1"/>
    <col min="12" max="15" width="11.7109375" style="10" customWidth="1"/>
    <col min="16" max="16" width="13.140625" style="53" customWidth="1"/>
    <col min="17" max="16384" width="9.140625" style="12"/>
  </cols>
  <sheetData>
    <row r="1" spans="1:16" s="11" customFormat="1" ht="18.75" customHeight="1" x14ac:dyDescent="0.25">
      <c r="A1" s="638" t="s">
        <v>116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</row>
    <row r="2" spans="1:16" ht="35.25" customHeight="1" x14ac:dyDescent="0.25">
      <c r="A2" s="590" t="s">
        <v>12</v>
      </c>
      <c r="B2" s="615" t="s">
        <v>37</v>
      </c>
      <c r="C2" s="615"/>
      <c r="D2" s="615"/>
      <c r="E2" s="615"/>
      <c r="F2" s="615"/>
      <c r="G2" s="615"/>
      <c r="H2" s="615"/>
      <c r="I2" s="615"/>
      <c r="J2" s="615"/>
      <c r="K2" s="615"/>
      <c r="L2" s="616" t="s">
        <v>38</v>
      </c>
      <c r="M2" s="617"/>
      <c r="N2" s="617"/>
      <c r="O2" s="618"/>
      <c r="P2" s="604" t="s">
        <v>181</v>
      </c>
    </row>
    <row r="3" spans="1:16" ht="12" customHeight="1" x14ac:dyDescent="0.25">
      <c r="A3" s="590"/>
      <c r="B3" s="605" t="s">
        <v>7</v>
      </c>
      <c r="C3" s="597" t="s">
        <v>9</v>
      </c>
      <c r="D3" s="598"/>
      <c r="E3" s="608" t="s">
        <v>10</v>
      </c>
      <c r="F3" s="608"/>
      <c r="G3" s="608" t="s">
        <v>11</v>
      </c>
      <c r="H3" s="608"/>
      <c r="I3" s="594" t="s">
        <v>58</v>
      </c>
      <c r="J3" s="595"/>
      <c r="K3" s="596" t="s">
        <v>221</v>
      </c>
      <c r="L3" s="600" t="s">
        <v>70</v>
      </c>
      <c r="M3" s="609" t="s">
        <v>71</v>
      </c>
      <c r="N3" s="609" t="s">
        <v>72</v>
      </c>
      <c r="O3" s="612" t="s">
        <v>73</v>
      </c>
      <c r="P3" s="604"/>
    </row>
    <row r="4" spans="1:16" ht="12" customHeight="1" x14ac:dyDescent="0.25">
      <c r="A4" s="590"/>
      <c r="B4" s="606"/>
      <c r="C4" s="597">
        <v>6414.1</v>
      </c>
      <c r="D4" s="598"/>
      <c r="E4" s="594">
        <v>6387.7</v>
      </c>
      <c r="F4" s="595"/>
      <c r="G4" s="594">
        <v>6497.32</v>
      </c>
      <c r="H4" s="595"/>
      <c r="I4" s="594">
        <v>24004.01</v>
      </c>
      <c r="J4" s="595"/>
      <c r="K4" s="596"/>
      <c r="L4" s="601"/>
      <c r="M4" s="610"/>
      <c r="N4" s="610"/>
      <c r="O4" s="613"/>
      <c r="P4" s="604"/>
    </row>
    <row r="5" spans="1:16" ht="12" customHeight="1" x14ac:dyDescent="0.25">
      <c r="A5" s="590"/>
      <c r="B5" s="606"/>
      <c r="C5" s="597">
        <f>C4+E4+G4</f>
        <v>19299.12</v>
      </c>
      <c r="D5" s="599"/>
      <c r="E5" s="599"/>
      <c r="F5" s="599"/>
      <c r="G5" s="599"/>
      <c r="H5" s="598"/>
      <c r="I5" s="73"/>
      <c r="J5" s="74"/>
      <c r="K5" s="596"/>
      <c r="L5" s="601"/>
      <c r="M5" s="610"/>
      <c r="N5" s="610"/>
      <c r="O5" s="613"/>
      <c r="P5" s="604"/>
    </row>
    <row r="6" spans="1:16" ht="12" customHeight="1" x14ac:dyDescent="0.25">
      <c r="A6" s="590"/>
      <c r="B6" s="606"/>
      <c r="C6" s="597">
        <f>C5+I4</f>
        <v>43303.13</v>
      </c>
      <c r="D6" s="599"/>
      <c r="E6" s="599"/>
      <c r="F6" s="599"/>
      <c r="G6" s="599"/>
      <c r="H6" s="599"/>
      <c r="I6" s="599"/>
      <c r="J6" s="598"/>
      <c r="K6" s="596"/>
      <c r="L6" s="601"/>
      <c r="M6" s="610"/>
      <c r="N6" s="610"/>
      <c r="O6" s="613"/>
      <c r="P6" s="604"/>
    </row>
    <row r="7" spans="1:16" ht="38.25" x14ac:dyDescent="0.25">
      <c r="A7" s="590"/>
      <c r="B7" s="607"/>
      <c r="C7" s="13" t="s">
        <v>68</v>
      </c>
      <c r="D7" s="14" t="s">
        <v>8</v>
      </c>
      <c r="E7" s="13" t="s">
        <v>68</v>
      </c>
      <c r="F7" s="14" t="s">
        <v>8</v>
      </c>
      <c r="G7" s="13" t="s">
        <v>68</v>
      </c>
      <c r="H7" s="14" t="s">
        <v>8</v>
      </c>
      <c r="I7" s="13" t="s">
        <v>68</v>
      </c>
      <c r="J7" s="14" t="s">
        <v>8</v>
      </c>
      <c r="K7" s="596"/>
      <c r="L7" s="602"/>
      <c r="M7" s="611"/>
      <c r="N7" s="611"/>
      <c r="O7" s="614"/>
      <c r="P7" s="604"/>
    </row>
    <row r="8" spans="1:16" x14ac:dyDescent="0.25">
      <c r="A8" s="590"/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38">
        <v>10</v>
      </c>
      <c r="L8" s="15">
        <v>11</v>
      </c>
      <c r="M8" s="54">
        <v>12</v>
      </c>
      <c r="N8" s="54">
        <v>13</v>
      </c>
      <c r="O8" s="55">
        <v>14</v>
      </c>
      <c r="P8" s="26" t="s">
        <v>69</v>
      </c>
    </row>
    <row r="9" spans="1:16" s="20" customFormat="1" ht="34.5" customHeight="1" x14ac:dyDescent="0.25">
      <c r="A9" s="76" t="s">
        <v>13</v>
      </c>
      <c r="B9" s="17" t="s">
        <v>0</v>
      </c>
      <c r="C9" s="1"/>
      <c r="D9" s="18"/>
      <c r="E9" s="18"/>
      <c r="F9" s="18"/>
      <c r="G9" s="1"/>
      <c r="H9" s="18"/>
      <c r="I9" s="1">
        <f t="shared" ref="I9:J9" si="0">SUM(I10:I12)</f>
        <v>0.45999999999999996</v>
      </c>
      <c r="J9" s="18">
        <f t="shared" si="0"/>
        <v>99376.601399999985</v>
      </c>
      <c r="K9" s="33">
        <f>D9+F9+H9+J9</f>
        <v>99376.601399999985</v>
      </c>
      <c r="L9" s="46">
        <f>SUM(L10:L12)</f>
        <v>67660</v>
      </c>
      <c r="M9" s="46">
        <f t="shared" ref="M9:N9" si="1">SUM(M10:M12)</f>
        <v>2933.9670887208381</v>
      </c>
      <c r="N9" s="46">
        <f t="shared" si="1"/>
        <v>3880.2854305706301</v>
      </c>
      <c r="O9" s="19">
        <f>L9+M9+N9</f>
        <v>74474.252519291462</v>
      </c>
      <c r="P9" s="56">
        <f>SUM(P10:P12)</f>
        <v>24902.348880708516</v>
      </c>
    </row>
    <row r="10" spans="1:16" ht="37.5" customHeight="1" x14ac:dyDescent="0.25">
      <c r="A10" s="21" t="s">
        <v>45</v>
      </c>
      <c r="B10" s="22" t="s">
        <v>34</v>
      </c>
      <c r="C10" s="23"/>
      <c r="D10" s="5"/>
      <c r="E10" s="5"/>
      <c r="F10" s="5"/>
      <c r="G10" s="5"/>
      <c r="H10" s="5"/>
      <c r="I10" s="5">
        <v>0.02</v>
      </c>
      <c r="J10" s="5">
        <f>I10*9*$I$4</f>
        <v>4320.7217999999993</v>
      </c>
      <c r="K10" s="39">
        <f t="shared" ref="K10:K19" si="2">D10+F10+H10+J10</f>
        <v>4320.7217999999993</v>
      </c>
      <c r="L10" s="48"/>
      <c r="M10" s="48">
        <f>'Затраты 86'!L2</f>
        <v>2069.2199999999998</v>
      </c>
      <c r="N10" s="48"/>
      <c r="O10" s="19">
        <f>L10+M10+N10</f>
        <v>2069.2199999999998</v>
      </c>
      <c r="P10" s="75">
        <f t="shared" ref="P10:P63" si="3">K10-O10</f>
        <v>2251.5017999999995</v>
      </c>
    </row>
    <row r="11" spans="1:16" ht="36" customHeight="1" x14ac:dyDescent="0.25">
      <c r="A11" s="21" t="s">
        <v>19</v>
      </c>
      <c r="B11" s="22" t="s">
        <v>35</v>
      </c>
      <c r="C11" s="23"/>
      <c r="D11" s="5"/>
      <c r="E11" s="23"/>
      <c r="F11" s="5"/>
      <c r="G11" s="23"/>
      <c r="H11" s="5"/>
      <c r="I11" s="23">
        <v>0.08</v>
      </c>
      <c r="J11" s="5">
        <f>I11*9*$I$4</f>
        <v>17282.887199999997</v>
      </c>
      <c r="K11" s="39">
        <f t="shared" si="2"/>
        <v>17282.887199999997</v>
      </c>
      <c r="L11" s="48"/>
      <c r="M11" s="48">
        <f>'Затраты 86'!E12</f>
        <v>864.74708872083829</v>
      </c>
      <c r="N11" s="48">
        <f>'Затраты 86'!E13</f>
        <v>3880.2854305706301</v>
      </c>
      <c r="O11" s="19">
        <f>L11+M11+N11</f>
        <v>4745.0325192914679</v>
      </c>
      <c r="P11" s="75">
        <f t="shared" si="3"/>
        <v>12537.854680708529</v>
      </c>
    </row>
    <row r="12" spans="1:16" ht="28.5" customHeight="1" x14ac:dyDescent="0.25">
      <c r="A12" s="21" t="s">
        <v>39</v>
      </c>
      <c r="B12" s="22" t="s">
        <v>20</v>
      </c>
      <c r="C12" s="23"/>
      <c r="D12" s="5"/>
      <c r="E12" s="5"/>
      <c r="F12" s="5"/>
      <c r="G12" s="5"/>
      <c r="H12" s="5"/>
      <c r="I12" s="5">
        <v>0.36</v>
      </c>
      <c r="J12" s="5">
        <f>I12*9*$I$4</f>
        <v>77772.992399999988</v>
      </c>
      <c r="K12" s="39">
        <f t="shared" si="2"/>
        <v>77772.992399999988</v>
      </c>
      <c r="L12" s="392">
        <f>'Затраты 86'!L14+'Затраты 86'!L15+'Затраты 86'!L16</f>
        <v>67660</v>
      </c>
      <c r="M12" s="48"/>
      <c r="N12" s="48"/>
      <c r="O12" s="19">
        <f>L12+M12+N12</f>
        <v>67660</v>
      </c>
      <c r="P12" s="75">
        <f t="shared" si="3"/>
        <v>10112.992399999988</v>
      </c>
    </row>
    <row r="13" spans="1:16" s="20" customFormat="1" ht="23.25" customHeight="1" x14ac:dyDescent="0.25">
      <c r="A13" s="76" t="s">
        <v>14</v>
      </c>
      <c r="B13" s="17" t="s">
        <v>1</v>
      </c>
      <c r="C13" s="1"/>
      <c r="D13" s="18"/>
      <c r="E13" s="18"/>
      <c r="F13" s="18"/>
      <c r="G13" s="18"/>
      <c r="H13" s="18"/>
      <c r="I13" s="18">
        <f>SUM(I14:I19)</f>
        <v>0.59000000000000008</v>
      </c>
      <c r="J13" s="18">
        <f>SUM(J14:J21)</f>
        <v>127461.2931</v>
      </c>
      <c r="K13" s="33">
        <f>SUM(K14:K21)</f>
        <v>127461.2931</v>
      </c>
      <c r="L13" s="46">
        <f>SUM(L14:L21)</f>
        <v>8115</v>
      </c>
      <c r="M13" s="46">
        <f t="shared" ref="M13:N13" si="4">SUM(M14:M21)</f>
        <v>137862.05251929146</v>
      </c>
      <c r="N13" s="46">
        <f t="shared" si="4"/>
        <v>0</v>
      </c>
      <c r="O13" s="19">
        <f>SUM(O14:O21)</f>
        <v>145977.05251929146</v>
      </c>
      <c r="P13" s="56">
        <f>SUM(P14:P21)</f>
        <v>-18515.759419291484</v>
      </c>
    </row>
    <row r="14" spans="1:16" ht="33.75" customHeight="1" x14ac:dyDescent="0.25">
      <c r="A14" s="21" t="s">
        <v>46</v>
      </c>
      <c r="B14" s="25" t="s">
        <v>42</v>
      </c>
      <c r="C14" s="2"/>
      <c r="D14" s="5"/>
      <c r="E14" s="5"/>
      <c r="F14" s="5"/>
      <c r="G14" s="5"/>
      <c r="H14" s="5"/>
      <c r="I14" s="5">
        <v>0.03</v>
      </c>
      <c r="J14" s="5">
        <f>I14*9*$I$4</f>
        <v>6481.0826999999999</v>
      </c>
      <c r="K14" s="39">
        <f t="shared" si="2"/>
        <v>6481.0826999999999</v>
      </c>
      <c r="L14" s="47"/>
      <c r="M14" s="48">
        <f>'Затраты 86'!L5+'Затраты 86'!L9</f>
        <v>12140.05</v>
      </c>
      <c r="N14" s="48"/>
      <c r="O14" s="19">
        <f t="shared" ref="O14:O44" si="5">L14+M14+N14</f>
        <v>12140.05</v>
      </c>
      <c r="P14" s="75">
        <f t="shared" si="3"/>
        <v>-5658.9672999999993</v>
      </c>
    </row>
    <row r="15" spans="1:16" ht="33.75" customHeight="1" x14ac:dyDescent="0.25">
      <c r="A15" s="21" t="s">
        <v>47</v>
      </c>
      <c r="B15" s="25" t="s">
        <v>43</v>
      </c>
      <c r="C15" s="2"/>
      <c r="D15" s="5"/>
      <c r="E15" s="5"/>
      <c r="F15" s="5"/>
      <c r="G15" s="5"/>
      <c r="H15" s="5"/>
      <c r="I15" s="5">
        <v>0.05</v>
      </c>
      <c r="J15" s="5">
        <f>I15*9*$I$4</f>
        <v>10801.8045</v>
      </c>
      <c r="K15" s="39">
        <f t="shared" si="2"/>
        <v>10801.8045</v>
      </c>
      <c r="L15" s="48">
        <f>'Затраты 86'!L17+'Затраты 86'!L18+'Затраты 86'!L4</f>
        <v>8115</v>
      </c>
      <c r="M15" s="48">
        <f>'Затраты 86'!L11</f>
        <v>1652</v>
      </c>
      <c r="N15" s="48"/>
      <c r="O15" s="19">
        <f t="shared" si="5"/>
        <v>9767</v>
      </c>
      <c r="P15" s="75">
        <f t="shared" si="3"/>
        <v>1034.8045000000002</v>
      </c>
    </row>
    <row r="16" spans="1:16" ht="33.75" customHeight="1" x14ac:dyDescent="0.25">
      <c r="A16" s="21" t="s">
        <v>48</v>
      </c>
      <c r="B16" s="25" t="s">
        <v>24</v>
      </c>
      <c r="C16" s="2"/>
      <c r="D16" s="5"/>
      <c r="E16" s="5"/>
      <c r="F16" s="5"/>
      <c r="G16" s="5"/>
      <c r="H16" s="5"/>
      <c r="I16" s="5">
        <v>0.04</v>
      </c>
      <c r="J16" s="5">
        <f t="shared" ref="J16:J19" si="6">I16*9*$I$4</f>
        <v>8641.4435999999987</v>
      </c>
      <c r="K16" s="39">
        <f t="shared" si="2"/>
        <v>8641.4435999999987</v>
      </c>
      <c r="L16" s="42"/>
      <c r="M16" s="48">
        <f>'Затраты 86'!L6</f>
        <v>8537</v>
      </c>
      <c r="N16" s="48"/>
      <c r="O16" s="19">
        <f>L16+M16+N16</f>
        <v>8537</v>
      </c>
      <c r="P16" s="75">
        <f t="shared" si="3"/>
        <v>104.4435999999987</v>
      </c>
    </row>
    <row r="17" spans="1:16" ht="33.75" customHeight="1" x14ac:dyDescent="0.25">
      <c r="A17" s="21" t="s">
        <v>49</v>
      </c>
      <c r="B17" s="25" t="s">
        <v>25</v>
      </c>
      <c r="C17" s="2"/>
      <c r="D17" s="5"/>
      <c r="E17" s="5"/>
      <c r="F17" s="5"/>
      <c r="G17" s="5"/>
      <c r="H17" s="5"/>
      <c r="I17" s="5">
        <v>0.33</v>
      </c>
      <c r="J17" s="5">
        <f t="shared" si="6"/>
        <v>71291.909700000004</v>
      </c>
      <c r="K17" s="39">
        <f t="shared" si="2"/>
        <v>71291.909700000004</v>
      </c>
      <c r="L17" s="48"/>
      <c r="M17" s="48">
        <f>'Затраты 86'!L7</f>
        <v>1180</v>
      </c>
      <c r="N17" s="48"/>
      <c r="O17" s="19">
        <f t="shared" si="5"/>
        <v>1180</v>
      </c>
      <c r="P17" s="75">
        <f t="shared" si="3"/>
        <v>70111.909700000004</v>
      </c>
    </row>
    <row r="18" spans="1:16" ht="33.75" customHeight="1" x14ac:dyDescent="0.25">
      <c r="A18" s="21" t="s">
        <v>50</v>
      </c>
      <c r="B18" s="25" t="s">
        <v>26</v>
      </c>
      <c r="C18" s="2"/>
      <c r="D18" s="5"/>
      <c r="E18" s="5"/>
      <c r="F18" s="5"/>
      <c r="G18" s="5"/>
      <c r="H18" s="5"/>
      <c r="I18" s="5">
        <v>0.08</v>
      </c>
      <c r="J18" s="5">
        <f t="shared" si="6"/>
        <v>17282.887199999997</v>
      </c>
      <c r="K18" s="39">
        <f t="shared" si="2"/>
        <v>17282.887199999997</v>
      </c>
      <c r="L18" s="48"/>
      <c r="M18" s="48">
        <f>'Затраты 86'!L32</f>
        <v>114353.00251929148</v>
      </c>
      <c r="N18" s="47"/>
      <c r="O18" s="19">
        <f t="shared" si="5"/>
        <v>114353.00251929148</v>
      </c>
      <c r="P18" s="75">
        <f t="shared" si="3"/>
        <v>-97070.115319291479</v>
      </c>
    </row>
    <row r="19" spans="1:16" ht="33.75" customHeight="1" x14ac:dyDescent="0.25">
      <c r="A19" s="21" t="s">
        <v>51</v>
      </c>
      <c r="B19" s="25" t="s">
        <v>27</v>
      </c>
      <c r="C19" s="2"/>
      <c r="D19" s="5"/>
      <c r="E19" s="5"/>
      <c r="F19" s="5"/>
      <c r="G19" s="5"/>
      <c r="H19" s="5"/>
      <c r="I19" s="5">
        <v>0.06</v>
      </c>
      <c r="J19" s="5">
        <f t="shared" si="6"/>
        <v>12962.1654</v>
      </c>
      <c r="K19" s="39">
        <f t="shared" si="2"/>
        <v>12962.1654</v>
      </c>
      <c r="L19" s="47"/>
      <c r="M19" s="48"/>
      <c r="N19" s="48"/>
      <c r="O19" s="19">
        <f t="shared" si="5"/>
        <v>0</v>
      </c>
      <c r="P19" s="75">
        <f t="shared" si="3"/>
        <v>12962.1654</v>
      </c>
    </row>
    <row r="20" spans="1:16" ht="33.75" customHeight="1" x14ac:dyDescent="0.25">
      <c r="A20" s="21" t="s">
        <v>65</v>
      </c>
      <c r="B20" s="25" t="s">
        <v>75</v>
      </c>
      <c r="C20" s="2"/>
      <c r="D20" s="5"/>
      <c r="E20" s="5"/>
      <c r="F20" s="5"/>
      <c r="G20" s="5"/>
      <c r="H20" s="5"/>
      <c r="I20" s="5"/>
      <c r="J20" s="5"/>
      <c r="K20" s="39"/>
      <c r="L20" s="48"/>
      <c r="M20" s="48"/>
      <c r="N20" s="48"/>
      <c r="O20" s="19">
        <f t="shared" si="5"/>
        <v>0</v>
      </c>
      <c r="P20" s="75">
        <f t="shared" si="3"/>
        <v>0</v>
      </c>
    </row>
    <row r="21" spans="1:16" ht="33.75" customHeight="1" x14ac:dyDescent="0.25">
      <c r="A21" s="21" t="s">
        <v>74</v>
      </c>
      <c r="B21" s="25" t="s">
        <v>80</v>
      </c>
      <c r="C21" s="2"/>
      <c r="D21" s="5"/>
      <c r="E21" s="5"/>
      <c r="F21" s="5"/>
      <c r="G21" s="5"/>
      <c r="H21" s="5"/>
      <c r="I21" s="5"/>
      <c r="J21" s="5"/>
      <c r="K21" s="39"/>
      <c r="L21" s="48"/>
      <c r="M21" s="48"/>
      <c r="N21" s="48"/>
      <c r="O21" s="19">
        <f t="shared" si="5"/>
        <v>0</v>
      </c>
      <c r="P21" s="75">
        <f t="shared" si="3"/>
        <v>0</v>
      </c>
    </row>
    <row r="22" spans="1:16" s="20" customFormat="1" ht="24" customHeight="1" x14ac:dyDescent="0.25">
      <c r="A22" s="76" t="s">
        <v>15</v>
      </c>
      <c r="B22" s="17" t="s">
        <v>2</v>
      </c>
      <c r="C22" s="1"/>
      <c r="D22" s="18"/>
      <c r="E22" s="1"/>
      <c r="F22" s="18"/>
      <c r="G22" s="1"/>
      <c r="H22" s="18"/>
      <c r="I22" s="1">
        <f>J22/I4/9</f>
        <v>12.597868047880334</v>
      </c>
      <c r="J22" s="18">
        <f>SUM(J23:J32)</f>
        <v>2721594.1554</v>
      </c>
      <c r="K22" s="33">
        <f t="shared" ref="K22:K33" si="7">D22+F22+H22+J22</f>
        <v>2721594.1554</v>
      </c>
      <c r="L22" s="46">
        <f>SUM(L23:L32)</f>
        <v>2827162.8654829194</v>
      </c>
      <c r="M22" s="46">
        <f t="shared" ref="M22:N22" si="8">SUM(M23:M32)</f>
        <v>6585.9360007001806</v>
      </c>
      <c r="N22" s="46">
        <f t="shared" si="8"/>
        <v>16289.39612125036</v>
      </c>
      <c r="O22" s="19">
        <f t="shared" si="5"/>
        <v>2850038.19760487</v>
      </c>
      <c r="P22" s="56">
        <f t="shared" si="3"/>
        <v>-128444.04220486991</v>
      </c>
    </row>
    <row r="23" spans="1:16" ht="27.75" customHeight="1" x14ac:dyDescent="0.25">
      <c r="A23" s="21" t="s">
        <v>21</v>
      </c>
      <c r="B23" s="25" t="s">
        <v>44</v>
      </c>
      <c r="C23" s="2"/>
      <c r="D23" s="5"/>
      <c r="E23" s="5"/>
      <c r="F23" s="5"/>
      <c r="G23" s="5"/>
      <c r="H23" s="5"/>
      <c r="I23" s="5">
        <v>11.06</v>
      </c>
      <c r="J23" s="5">
        <f>I23*9*I4</f>
        <v>2389359.1554</v>
      </c>
      <c r="K23" s="39">
        <f t="shared" si="7"/>
        <v>2389359.1554</v>
      </c>
      <c r="L23" s="48">
        <v>2430231.23</v>
      </c>
      <c r="M23" s="48"/>
      <c r="N23" s="48"/>
      <c r="O23" s="19">
        <f t="shared" si="5"/>
        <v>2430231.23</v>
      </c>
      <c r="P23" s="75">
        <f t="shared" si="3"/>
        <v>-40872.074599999934</v>
      </c>
    </row>
    <row r="24" spans="1:16" ht="27.75" customHeight="1" x14ac:dyDescent="0.25">
      <c r="A24" s="21" t="s">
        <v>22</v>
      </c>
      <c r="B24" s="22" t="s">
        <v>28</v>
      </c>
      <c r="C24" s="2"/>
      <c r="D24" s="5"/>
      <c r="E24" s="3"/>
      <c r="F24" s="5"/>
      <c r="G24" s="3"/>
      <c r="H24" s="5"/>
      <c r="I24" s="5">
        <v>6108</v>
      </c>
      <c r="J24" s="5">
        <f t="shared" ref="J24:J29" si="9">I24*9</f>
        <v>54972</v>
      </c>
      <c r="K24" s="39">
        <f t="shared" si="7"/>
        <v>54972</v>
      </c>
      <c r="L24" s="49">
        <f>37393/C6*I4</f>
        <v>20727.876851627123</v>
      </c>
      <c r="M24" s="50"/>
      <c r="N24" s="50"/>
      <c r="O24" s="19">
        <f t="shared" si="5"/>
        <v>20727.876851627123</v>
      </c>
      <c r="P24" s="75">
        <f t="shared" si="3"/>
        <v>34244.123148372877</v>
      </c>
    </row>
    <row r="25" spans="1:16" ht="27.75" customHeight="1" x14ac:dyDescent="0.25">
      <c r="A25" s="21" t="s">
        <v>23</v>
      </c>
      <c r="B25" s="22" t="s">
        <v>29</v>
      </c>
      <c r="C25" s="2"/>
      <c r="D25" s="5"/>
      <c r="E25" s="3"/>
      <c r="F25" s="5"/>
      <c r="G25" s="3"/>
      <c r="H25" s="5"/>
      <c r="I25" s="5">
        <v>6140</v>
      </c>
      <c r="J25" s="5">
        <f t="shared" si="9"/>
        <v>55260</v>
      </c>
      <c r="K25" s="39">
        <f t="shared" si="7"/>
        <v>55260</v>
      </c>
      <c r="L25" s="48">
        <f>130164/C6*I4</f>
        <v>72153.166702730261</v>
      </c>
      <c r="M25" s="48"/>
      <c r="N25" s="48"/>
      <c r="O25" s="19">
        <f t="shared" si="5"/>
        <v>72153.166702730261</v>
      </c>
      <c r="P25" s="75">
        <f t="shared" si="3"/>
        <v>-16893.166702730261</v>
      </c>
    </row>
    <row r="26" spans="1:16" ht="27.75" customHeight="1" x14ac:dyDescent="0.25">
      <c r="A26" s="21" t="s">
        <v>40</v>
      </c>
      <c r="B26" s="22" t="s">
        <v>30</v>
      </c>
      <c r="C26" s="2"/>
      <c r="D26" s="5"/>
      <c r="E26" s="5"/>
      <c r="F26" s="5"/>
      <c r="G26" s="5"/>
      <c r="H26" s="5"/>
      <c r="I26" s="5">
        <v>2500</v>
      </c>
      <c r="J26" s="5">
        <f t="shared" si="9"/>
        <v>22500</v>
      </c>
      <c r="K26" s="39">
        <f t="shared" si="7"/>
        <v>22500</v>
      </c>
      <c r="L26" s="48">
        <f>(5150+6030)/C6*I4</f>
        <v>6197.3541358326747</v>
      </c>
      <c r="M26" s="47"/>
      <c r="N26" s="48">
        <f>8600/C6*I4</f>
        <v>4767.1954891020587</v>
      </c>
      <c r="O26" s="19">
        <f t="shared" si="5"/>
        <v>10964.549624934734</v>
      </c>
      <c r="P26" s="75">
        <f t="shared" si="3"/>
        <v>11535.450375065266</v>
      </c>
    </row>
    <row r="27" spans="1:16" ht="27.75" customHeight="1" x14ac:dyDescent="0.25">
      <c r="A27" s="21" t="s">
        <v>52</v>
      </c>
      <c r="B27" s="22" t="s">
        <v>31</v>
      </c>
      <c r="C27" s="2"/>
      <c r="D27" s="5"/>
      <c r="E27" s="5"/>
      <c r="F27" s="5"/>
      <c r="G27" s="5"/>
      <c r="H27" s="5"/>
      <c r="I27" s="5">
        <v>1000</v>
      </c>
      <c r="J27" s="5">
        <f t="shared" si="9"/>
        <v>9000</v>
      </c>
      <c r="K27" s="39">
        <f t="shared" si="7"/>
        <v>9000</v>
      </c>
      <c r="L27" s="48">
        <f>68500/C6*I4</f>
        <v>37971.266395754763</v>
      </c>
      <c r="M27" s="48"/>
      <c r="N27" s="48"/>
      <c r="O27" s="19">
        <f t="shared" si="5"/>
        <v>37971.266395754763</v>
      </c>
      <c r="P27" s="75">
        <f t="shared" si="3"/>
        <v>-28971.266395754763</v>
      </c>
    </row>
    <row r="28" spans="1:16" ht="27.75" customHeight="1" x14ac:dyDescent="0.25">
      <c r="A28" s="21" t="s">
        <v>53</v>
      </c>
      <c r="B28" s="22" t="s">
        <v>32</v>
      </c>
      <c r="C28" s="2"/>
      <c r="D28" s="5"/>
      <c r="E28" s="3"/>
      <c r="F28" s="5"/>
      <c r="G28" s="3"/>
      <c r="H28" s="5"/>
      <c r="I28" s="5">
        <v>21000</v>
      </c>
      <c r="J28" s="5">
        <f t="shared" si="9"/>
        <v>189000</v>
      </c>
      <c r="K28" s="39">
        <f t="shared" si="7"/>
        <v>189000</v>
      </c>
      <c r="L28" s="48">
        <f>228988.41/C6*I4</f>
        <v>126934.01339635496</v>
      </c>
      <c r="M28" s="48"/>
      <c r="N28" s="47"/>
      <c r="O28" s="19">
        <f t="shared" si="5"/>
        <v>126934.01339635496</v>
      </c>
      <c r="P28" s="75">
        <f t="shared" si="3"/>
        <v>62065.98660364504</v>
      </c>
    </row>
    <row r="29" spans="1:16" ht="27.75" customHeight="1" x14ac:dyDescent="0.25">
      <c r="A29" s="21" t="s">
        <v>54</v>
      </c>
      <c r="B29" s="22" t="s">
        <v>33</v>
      </c>
      <c r="C29" s="2"/>
      <c r="D29" s="5"/>
      <c r="E29" s="2"/>
      <c r="F29" s="5"/>
      <c r="G29" s="2"/>
      <c r="H29" s="5"/>
      <c r="I29" s="5">
        <v>167</v>
      </c>
      <c r="J29" s="5">
        <f t="shared" si="9"/>
        <v>1503</v>
      </c>
      <c r="K29" s="39">
        <f t="shared" si="7"/>
        <v>1503</v>
      </c>
      <c r="L29" s="47"/>
      <c r="M29" s="48">
        <f>11502/C6*I4</f>
        <v>6375.8468041455662</v>
      </c>
      <c r="N29" s="48">
        <f>20786/C6*I4</f>
        <v>11522.2006321483</v>
      </c>
      <c r="O29" s="19">
        <f t="shared" si="5"/>
        <v>17898.047436293866</v>
      </c>
      <c r="P29" s="75">
        <f t="shared" si="3"/>
        <v>-16395.047436293866</v>
      </c>
    </row>
    <row r="30" spans="1:16" ht="27.75" customHeight="1" x14ac:dyDescent="0.25">
      <c r="A30" s="21" t="s">
        <v>55</v>
      </c>
      <c r="B30" s="22" t="s">
        <v>36</v>
      </c>
      <c r="C30" s="2"/>
      <c r="D30" s="5"/>
      <c r="E30" s="2"/>
      <c r="F30" s="5"/>
      <c r="G30" s="2"/>
      <c r="H30" s="5"/>
      <c r="I30" s="5"/>
      <c r="J30" s="5"/>
      <c r="K30" s="39"/>
      <c r="L30" s="48">
        <f>5489.54/C6*I4</f>
        <v>3042.989572702943</v>
      </c>
      <c r="M30" s="48">
        <f>379/C6*I4</f>
        <v>210.08919655461398</v>
      </c>
      <c r="N30" s="48"/>
      <c r="O30" s="19">
        <f t="shared" si="5"/>
        <v>3253.0787692575568</v>
      </c>
      <c r="P30" s="75">
        <f t="shared" si="3"/>
        <v>-3253.0787692575568</v>
      </c>
    </row>
    <row r="31" spans="1:16" ht="27.75" customHeight="1" x14ac:dyDescent="0.25">
      <c r="A31" s="21" t="s">
        <v>56</v>
      </c>
      <c r="B31" s="22" t="s">
        <v>82</v>
      </c>
      <c r="C31" s="2"/>
      <c r="D31" s="5"/>
      <c r="E31" s="2"/>
      <c r="F31" s="5"/>
      <c r="G31" s="2"/>
      <c r="H31" s="5"/>
      <c r="I31" s="5"/>
      <c r="J31" s="5"/>
      <c r="K31" s="39"/>
      <c r="L31" s="48">
        <f>104348/C6*I4</f>
        <v>57842.711034514134</v>
      </c>
      <c r="M31" s="48"/>
      <c r="N31" s="48"/>
      <c r="O31" s="19">
        <f t="shared" si="5"/>
        <v>57842.711034514134</v>
      </c>
      <c r="P31" s="75">
        <f t="shared" si="3"/>
        <v>-57842.711034514134</v>
      </c>
    </row>
    <row r="32" spans="1:16" ht="27.75" customHeight="1" x14ac:dyDescent="0.25">
      <c r="A32" s="21" t="s">
        <v>59</v>
      </c>
      <c r="B32" s="22" t="s">
        <v>83</v>
      </c>
      <c r="C32" s="2"/>
      <c r="D32" s="5"/>
      <c r="E32" s="2"/>
      <c r="F32" s="5"/>
      <c r="G32" s="2"/>
      <c r="H32" s="5"/>
      <c r="I32" s="5"/>
      <c r="J32" s="5"/>
      <c r="K32" s="39"/>
      <c r="L32" s="48">
        <f>130000/C6*I4</f>
        <v>72062.257393403197</v>
      </c>
      <c r="M32" s="48"/>
      <c r="N32" s="48"/>
      <c r="O32" s="19">
        <f t="shared" si="5"/>
        <v>72062.257393403197</v>
      </c>
      <c r="P32" s="75">
        <f t="shared" si="3"/>
        <v>-72062.257393403197</v>
      </c>
    </row>
    <row r="33" spans="1:17" ht="27.75" customHeight="1" x14ac:dyDescent="0.25">
      <c r="A33" s="21" t="s">
        <v>56</v>
      </c>
      <c r="B33" s="22" t="s">
        <v>76</v>
      </c>
      <c r="C33" s="2"/>
      <c r="D33" s="5"/>
      <c r="E33" s="2"/>
      <c r="F33" s="5"/>
      <c r="G33" s="2"/>
      <c r="H33" s="5"/>
      <c r="I33" s="5">
        <v>1.82</v>
      </c>
      <c r="J33" s="5">
        <f>I33*9*I4</f>
        <v>393185.68379999994</v>
      </c>
      <c r="K33" s="39">
        <f t="shared" si="7"/>
        <v>393185.68379999994</v>
      </c>
      <c r="L33" s="48">
        <f>SUM(L34:L39)</f>
        <v>75642.642935741605</v>
      </c>
      <c r="M33" s="48">
        <f>SUM(M34:M39)</f>
        <v>34344.315008536338</v>
      </c>
      <c r="N33" s="48">
        <f>SUM(N34:N39)</f>
        <v>32028.901786083363</v>
      </c>
      <c r="O33" s="19">
        <f>SUM(L33:N33)</f>
        <v>142015.85973036129</v>
      </c>
      <c r="P33" s="75">
        <f t="shared" si="3"/>
        <v>251169.82406963865</v>
      </c>
    </row>
    <row r="34" spans="1:17" ht="37.5" customHeight="1" x14ac:dyDescent="0.25">
      <c r="A34" s="21" t="s">
        <v>91</v>
      </c>
      <c r="B34" s="22" t="s">
        <v>60</v>
      </c>
      <c r="C34" s="4"/>
      <c r="D34" s="5"/>
      <c r="E34" s="5"/>
      <c r="F34" s="5"/>
      <c r="G34" s="5"/>
      <c r="H34" s="5"/>
      <c r="I34" s="5"/>
      <c r="J34" s="5"/>
      <c r="K34" s="39"/>
      <c r="L34" s="48">
        <f>43315/C6*I4</f>
        <v>24010.589838425076</v>
      </c>
      <c r="M34" s="48"/>
      <c r="N34" s="48"/>
      <c r="O34" s="19">
        <f t="shared" si="5"/>
        <v>24010.589838425076</v>
      </c>
      <c r="P34" s="75">
        <f t="shared" si="3"/>
        <v>-24010.589838425076</v>
      </c>
    </row>
    <row r="35" spans="1:17" ht="37.5" customHeight="1" x14ac:dyDescent="0.25">
      <c r="A35" s="21" t="s">
        <v>92</v>
      </c>
      <c r="B35" s="22" t="s">
        <v>77</v>
      </c>
      <c r="C35" s="4"/>
      <c r="D35" s="5"/>
      <c r="E35" s="5"/>
      <c r="F35" s="5"/>
      <c r="G35" s="5"/>
      <c r="H35" s="5"/>
      <c r="I35" s="5"/>
      <c r="J35" s="5"/>
      <c r="K35" s="39"/>
      <c r="L35" s="48"/>
      <c r="M35" s="48"/>
      <c r="N35" s="48">
        <f>25090/C6*I4</f>
        <v>13908.01567692682</v>
      </c>
      <c r="O35" s="19">
        <f t="shared" si="5"/>
        <v>13908.01567692682</v>
      </c>
      <c r="P35" s="75">
        <f t="shared" si="3"/>
        <v>-13908.01567692682</v>
      </c>
    </row>
    <row r="36" spans="1:17" ht="37.5" customHeight="1" x14ac:dyDescent="0.25">
      <c r="A36" s="21" t="s">
        <v>93</v>
      </c>
      <c r="B36" s="22" t="s">
        <v>81</v>
      </c>
      <c r="C36" s="4"/>
      <c r="D36" s="5"/>
      <c r="E36" s="5"/>
      <c r="F36" s="5"/>
      <c r="G36" s="5"/>
      <c r="H36" s="5"/>
      <c r="I36" s="5"/>
      <c r="J36" s="5"/>
      <c r="K36" s="39"/>
      <c r="L36" s="48"/>
      <c r="M36" s="48"/>
      <c r="N36" s="48">
        <f>24990/C6*I4</f>
        <v>13852.583171239585</v>
      </c>
      <c r="O36" s="19">
        <f t="shared" si="5"/>
        <v>13852.583171239585</v>
      </c>
      <c r="P36" s="75">
        <f t="shared" si="3"/>
        <v>-13852.583171239585</v>
      </c>
    </row>
    <row r="37" spans="1:17" ht="37.5" customHeight="1" x14ac:dyDescent="0.25">
      <c r="A37" s="21" t="s">
        <v>94</v>
      </c>
      <c r="B37" s="22" t="s">
        <v>79</v>
      </c>
      <c r="C37" s="4"/>
      <c r="D37" s="5"/>
      <c r="E37" s="5"/>
      <c r="F37" s="5"/>
      <c r="G37" s="5"/>
      <c r="H37" s="5"/>
      <c r="I37" s="5"/>
      <c r="J37" s="5"/>
      <c r="K37" s="39"/>
      <c r="L37" s="48">
        <f>2250/C6*I4</f>
        <v>1247.2313779627477</v>
      </c>
      <c r="M37" s="48">
        <f>(6088+7751+18827+2211)/C6*I4</f>
        <v>19333.195008536335</v>
      </c>
      <c r="N37" s="48"/>
      <c r="O37" s="19">
        <f t="shared" si="5"/>
        <v>20580.426386499083</v>
      </c>
      <c r="P37" s="75">
        <f t="shared" si="3"/>
        <v>-20580.426386499083</v>
      </c>
    </row>
    <row r="38" spans="1:17" ht="37.5" customHeight="1" x14ac:dyDescent="0.25">
      <c r="A38" s="21" t="s">
        <v>179</v>
      </c>
      <c r="B38" s="22" t="s">
        <v>180</v>
      </c>
      <c r="C38" s="4"/>
      <c r="D38" s="5"/>
      <c r="E38" s="5"/>
      <c r="F38" s="5"/>
      <c r="G38" s="5"/>
      <c r="H38" s="5"/>
      <c r="I38" s="5"/>
      <c r="J38" s="5"/>
      <c r="K38" s="39"/>
      <c r="L38" s="48"/>
      <c r="M38" s="48">
        <v>15011.12</v>
      </c>
      <c r="N38" s="48"/>
      <c r="O38" s="19">
        <f t="shared" si="5"/>
        <v>15011.12</v>
      </c>
      <c r="P38" s="102">
        <f t="shared" si="3"/>
        <v>-15011.12</v>
      </c>
    </row>
    <row r="39" spans="1:17" ht="37.5" customHeight="1" x14ac:dyDescent="0.25">
      <c r="A39" s="21" t="s">
        <v>95</v>
      </c>
      <c r="B39" s="22" t="s">
        <v>83</v>
      </c>
      <c r="C39" s="4"/>
      <c r="D39" s="5"/>
      <c r="E39" s="5"/>
      <c r="F39" s="5"/>
      <c r="G39" s="5"/>
      <c r="H39" s="5"/>
      <c r="I39" s="5"/>
      <c r="J39" s="5"/>
      <c r="K39" s="39"/>
      <c r="L39" s="48">
        <f>90894/C6*I4</f>
        <v>50384.821719353778</v>
      </c>
      <c r="M39" s="48"/>
      <c r="N39" s="48">
        <f>7700/C6*I4</f>
        <v>4268.3029379169593</v>
      </c>
      <c r="O39" s="19">
        <f t="shared" si="5"/>
        <v>54653.124657270739</v>
      </c>
      <c r="P39" s="75">
        <f t="shared" si="3"/>
        <v>-54653.124657270739</v>
      </c>
    </row>
    <row r="40" spans="1:17" ht="15" customHeight="1" x14ac:dyDescent="0.25">
      <c r="A40" s="21" t="s">
        <v>16</v>
      </c>
      <c r="B40" s="17" t="s">
        <v>4</v>
      </c>
      <c r="C40" s="2"/>
      <c r="D40" s="5"/>
      <c r="E40" s="5"/>
      <c r="F40" s="5"/>
      <c r="G40" s="5"/>
      <c r="H40" s="5"/>
      <c r="I40" s="57">
        <v>2.8849999999999998</v>
      </c>
      <c r="J40" s="5">
        <f>I40*9*24003</f>
        <v>623237.8949999999</v>
      </c>
      <c r="K40" s="33">
        <f>D40+F40+H40+J40</f>
        <v>623237.8949999999</v>
      </c>
      <c r="L40" s="48">
        <v>623411.13</v>
      </c>
      <c r="M40" s="48"/>
      <c r="N40" s="48"/>
      <c r="O40" s="19">
        <f t="shared" si="5"/>
        <v>623411.13</v>
      </c>
      <c r="P40" s="56">
        <f t="shared" si="3"/>
        <v>-173.23500000010245</v>
      </c>
    </row>
    <row r="41" spans="1:17" ht="15" customHeight="1" x14ac:dyDescent="0.25">
      <c r="A41" s="21" t="s">
        <v>17</v>
      </c>
      <c r="B41" s="17" t="s">
        <v>5</v>
      </c>
      <c r="C41" s="2"/>
      <c r="D41" s="5"/>
      <c r="E41" s="5"/>
      <c r="F41" s="5"/>
      <c r="G41" s="5"/>
      <c r="H41" s="5"/>
      <c r="I41" s="5">
        <v>0.48</v>
      </c>
      <c r="J41" s="5">
        <f>I41*9*I4</f>
        <v>103697.3232</v>
      </c>
      <c r="K41" s="33">
        <f>D41+F41+H41+J41</f>
        <v>103697.3232</v>
      </c>
      <c r="L41" s="48">
        <v>44458</v>
      </c>
      <c r="M41" s="48"/>
      <c r="N41" s="48"/>
      <c r="O41" s="19">
        <f t="shared" si="5"/>
        <v>44458</v>
      </c>
      <c r="P41" s="56">
        <f t="shared" si="3"/>
        <v>59239.323199999999</v>
      </c>
    </row>
    <row r="42" spans="1:17" ht="15" customHeight="1" x14ac:dyDescent="0.25">
      <c r="A42" s="21" t="s">
        <v>18</v>
      </c>
      <c r="B42" s="17" t="s">
        <v>6</v>
      </c>
      <c r="C42" s="2"/>
      <c r="D42" s="5"/>
      <c r="E42" s="5"/>
      <c r="F42" s="5"/>
      <c r="G42" s="5"/>
      <c r="H42" s="5"/>
      <c r="I42" s="5">
        <v>2.76</v>
      </c>
      <c r="J42" s="5">
        <f>I42*9*I4</f>
        <v>596259.60839999991</v>
      </c>
      <c r="K42" s="33">
        <f>D42+F42+H42+J42</f>
        <v>596259.60839999991</v>
      </c>
      <c r="L42" s="48">
        <v>401047</v>
      </c>
      <c r="M42" s="48"/>
      <c r="N42" s="48"/>
      <c r="O42" s="19">
        <f t="shared" si="5"/>
        <v>401047</v>
      </c>
      <c r="P42" s="56">
        <f t="shared" si="3"/>
        <v>195212.60839999991</v>
      </c>
      <c r="Q42" s="12" t="s">
        <v>78</v>
      </c>
    </row>
    <row r="43" spans="1:17" ht="15" customHeight="1" x14ac:dyDescent="0.25">
      <c r="A43" s="21" t="s">
        <v>57</v>
      </c>
      <c r="B43" s="17" t="s">
        <v>3</v>
      </c>
      <c r="C43" s="2"/>
      <c r="D43" s="5"/>
      <c r="E43" s="5"/>
      <c r="F43" s="5"/>
      <c r="G43" s="5"/>
      <c r="H43" s="5"/>
      <c r="I43" s="5">
        <v>2</v>
      </c>
      <c r="J43" s="5">
        <f>I43*9*I4</f>
        <v>432072.18</v>
      </c>
      <c r="K43" s="33">
        <f>D43+F43+H43+J43-F43</f>
        <v>432072.18</v>
      </c>
      <c r="L43" s="48">
        <f>SUM(L46:L60)</f>
        <v>0</v>
      </c>
      <c r="M43" s="48">
        <f>SUM(M46:M60)</f>
        <v>0</v>
      </c>
      <c r="N43" s="48">
        <f>SUM(N46:N60)</f>
        <v>0</v>
      </c>
      <c r="O43" s="19">
        <f t="shared" si="5"/>
        <v>0</v>
      </c>
      <c r="P43" s="56">
        <f>K43-O43</f>
        <v>432072.18</v>
      </c>
    </row>
    <row r="44" spans="1:17" ht="15" customHeight="1" x14ac:dyDescent="0.25">
      <c r="A44" s="21" t="s">
        <v>84</v>
      </c>
      <c r="B44" s="17" t="s">
        <v>669</v>
      </c>
      <c r="C44" s="2"/>
      <c r="D44" s="5"/>
      <c r="E44" s="5"/>
      <c r="F44" s="5"/>
      <c r="G44" s="5"/>
      <c r="H44" s="5"/>
      <c r="I44" s="5"/>
      <c r="J44" s="5"/>
      <c r="K44" s="33">
        <f>'Смета 2015 общ.'!E82</f>
        <v>53200</v>
      </c>
      <c r="L44" s="48">
        <v>0</v>
      </c>
      <c r="M44" s="48">
        <v>0</v>
      </c>
      <c r="N44" s="48">
        <v>0</v>
      </c>
      <c r="O44" s="19">
        <f t="shared" si="5"/>
        <v>0</v>
      </c>
      <c r="P44" s="56">
        <f>K44-O44</f>
        <v>53200</v>
      </c>
    </row>
    <row r="45" spans="1:17" ht="15" customHeight="1" x14ac:dyDescent="0.25">
      <c r="B45" s="17"/>
      <c r="C45" s="2"/>
      <c r="D45" s="5"/>
      <c r="E45" s="5"/>
      <c r="F45" s="5"/>
      <c r="G45" s="5"/>
      <c r="H45" s="5"/>
      <c r="I45" s="5"/>
      <c r="J45" s="5"/>
      <c r="K45" s="33"/>
      <c r="L45" s="48"/>
      <c r="M45" s="48"/>
      <c r="N45" s="48"/>
      <c r="O45" s="19"/>
      <c r="P45" s="56"/>
    </row>
    <row r="46" spans="1:17" ht="25.5" customHeight="1" x14ac:dyDescent="0.25">
      <c r="A46" s="21" t="s">
        <v>88</v>
      </c>
      <c r="B46" s="17" t="s">
        <v>85</v>
      </c>
      <c r="C46" s="2"/>
      <c r="D46" s="5"/>
      <c r="E46" s="5"/>
      <c r="F46" s="5"/>
      <c r="G46" s="5"/>
      <c r="H46" s="5"/>
      <c r="I46" s="5"/>
      <c r="J46" s="5"/>
      <c r="K46" s="39"/>
      <c r="L46" s="48"/>
      <c r="M46" s="48"/>
      <c r="N46" s="48"/>
      <c r="O46" s="19"/>
      <c r="P46" s="75"/>
    </row>
    <row r="47" spans="1:17" ht="17.25" customHeight="1" x14ac:dyDescent="0.25">
      <c r="A47" s="21" t="s">
        <v>673</v>
      </c>
      <c r="B47" s="22" t="s">
        <v>29</v>
      </c>
      <c r="C47" s="2"/>
      <c r="D47" s="5"/>
      <c r="E47" s="5"/>
      <c r="F47" s="5"/>
      <c r="G47" s="5"/>
      <c r="H47" s="5"/>
      <c r="I47" s="5"/>
      <c r="J47" s="5"/>
      <c r="K47" s="39"/>
      <c r="L47" s="48"/>
      <c r="M47" s="48"/>
      <c r="N47" s="48"/>
      <c r="O47" s="19"/>
      <c r="P47" s="75">
        <f>P25</f>
        <v>-16893.166702730261</v>
      </c>
    </row>
    <row r="48" spans="1:17" ht="27" customHeight="1" x14ac:dyDescent="0.25">
      <c r="A48" s="21" t="s">
        <v>86</v>
      </c>
      <c r="B48" s="22" t="s">
        <v>31</v>
      </c>
      <c r="C48" s="2"/>
      <c r="D48" s="5"/>
      <c r="E48" s="5"/>
      <c r="F48" s="5"/>
      <c r="G48" s="5"/>
      <c r="H48" s="5"/>
      <c r="I48" s="5"/>
      <c r="J48" s="5"/>
      <c r="K48" s="39"/>
      <c r="L48" s="48"/>
      <c r="M48" s="48"/>
      <c r="N48" s="47"/>
      <c r="O48" s="19"/>
      <c r="P48" s="75">
        <f>P27</f>
        <v>-28971.266395754763</v>
      </c>
    </row>
    <row r="49" spans="1:16" ht="27" customHeight="1" x14ac:dyDescent="0.25">
      <c r="B49" s="22" t="s">
        <v>33</v>
      </c>
      <c r="C49" s="2"/>
      <c r="D49" s="5"/>
      <c r="E49" s="5"/>
      <c r="F49" s="5"/>
      <c r="G49" s="5"/>
      <c r="H49" s="5"/>
      <c r="I49" s="5"/>
      <c r="J49" s="5"/>
      <c r="K49" s="39"/>
      <c r="L49" s="48"/>
      <c r="M49" s="48"/>
      <c r="N49" s="47"/>
      <c r="O49" s="19"/>
      <c r="P49" s="102">
        <f>P29</f>
        <v>-16395.047436293866</v>
      </c>
    </row>
    <row r="50" spans="1:16" ht="27" customHeight="1" x14ac:dyDescent="0.25">
      <c r="B50" s="22" t="s">
        <v>36</v>
      </c>
      <c r="C50" s="2"/>
      <c r="D50" s="5"/>
      <c r="E50" s="5"/>
      <c r="F50" s="5"/>
      <c r="G50" s="5"/>
      <c r="H50" s="5"/>
      <c r="I50" s="5"/>
      <c r="J50" s="5"/>
      <c r="K50" s="39"/>
      <c r="L50" s="48"/>
      <c r="M50" s="48"/>
      <c r="N50" s="47"/>
      <c r="O50" s="19"/>
      <c r="P50" s="102">
        <f>P30</f>
        <v>-3253.0787692575568</v>
      </c>
    </row>
    <row r="51" spans="1:16" ht="27" customHeight="1" x14ac:dyDescent="0.25">
      <c r="A51" s="21" t="s">
        <v>113</v>
      </c>
      <c r="B51" s="22" t="s">
        <v>82</v>
      </c>
      <c r="C51" s="2"/>
      <c r="D51" s="5"/>
      <c r="E51" s="5"/>
      <c r="F51" s="5"/>
      <c r="G51" s="5"/>
      <c r="H51" s="5"/>
      <c r="I51" s="5"/>
      <c r="J51" s="5"/>
      <c r="K51" s="39"/>
      <c r="L51" s="48"/>
      <c r="M51" s="48"/>
      <c r="N51" s="47"/>
      <c r="O51" s="19"/>
      <c r="P51" s="75">
        <f>P31</f>
        <v>-57842.711034514134</v>
      </c>
    </row>
    <row r="52" spans="1:16" ht="27" customHeight="1" x14ac:dyDescent="0.25">
      <c r="A52" s="21" t="s">
        <v>114</v>
      </c>
      <c r="B52" s="22" t="s">
        <v>83</v>
      </c>
      <c r="C52" s="2"/>
      <c r="D52" s="5"/>
      <c r="E52" s="5"/>
      <c r="F52" s="5"/>
      <c r="G52" s="5"/>
      <c r="H52" s="5"/>
      <c r="I52" s="5"/>
      <c r="J52" s="5"/>
      <c r="K52" s="39"/>
      <c r="L52" s="48"/>
      <c r="M52" s="48"/>
      <c r="N52" s="47"/>
      <c r="O52" s="19"/>
      <c r="P52" s="75">
        <f>P32</f>
        <v>-72062.257393403197</v>
      </c>
    </row>
    <row r="53" spans="1:16" ht="27" customHeight="1" x14ac:dyDescent="0.25">
      <c r="A53" s="590" t="s">
        <v>87</v>
      </c>
      <c r="B53" s="590"/>
      <c r="C53" s="2"/>
      <c r="D53" s="5"/>
      <c r="E53" s="5"/>
      <c r="F53" s="5"/>
      <c r="G53" s="5"/>
      <c r="H53" s="5"/>
      <c r="I53" s="5"/>
      <c r="J53" s="5"/>
      <c r="K53" s="39"/>
      <c r="L53" s="48"/>
      <c r="M53" s="48"/>
      <c r="N53" s="47"/>
      <c r="O53" s="19"/>
      <c r="P53" s="56">
        <f>SUM(P47:P52)</f>
        <v>-195417.52773195377</v>
      </c>
    </row>
    <row r="54" spans="1:16" ht="27" customHeight="1" x14ac:dyDescent="0.25">
      <c r="A54" s="21" t="s">
        <v>88</v>
      </c>
      <c r="B54" s="63" t="s">
        <v>89</v>
      </c>
      <c r="C54" s="2"/>
      <c r="D54" s="5"/>
      <c r="E54" s="5"/>
      <c r="F54" s="5"/>
      <c r="G54" s="5"/>
      <c r="H54" s="5"/>
      <c r="I54" s="5"/>
      <c r="J54" s="5"/>
      <c r="K54" s="39"/>
      <c r="L54" s="48"/>
      <c r="M54" s="48"/>
      <c r="N54" s="47"/>
      <c r="O54" s="19"/>
      <c r="P54" s="56"/>
    </row>
    <row r="55" spans="1:16" ht="27" customHeight="1" x14ac:dyDescent="0.25">
      <c r="A55" s="21" t="s">
        <v>673</v>
      </c>
      <c r="B55" s="352" t="s">
        <v>689</v>
      </c>
      <c r="C55" s="2"/>
      <c r="D55" s="5"/>
      <c r="E55" s="5"/>
      <c r="F55" s="5"/>
      <c r="G55" s="5"/>
      <c r="H55" s="5"/>
      <c r="I55" s="5"/>
      <c r="J55" s="5"/>
      <c r="K55" s="39"/>
      <c r="L55" s="48"/>
      <c r="M55" s="48"/>
      <c r="N55" s="47"/>
      <c r="O55" s="19"/>
      <c r="P55" s="56"/>
    </row>
    <row r="56" spans="1:16" ht="27" customHeight="1" x14ac:dyDescent="0.25">
      <c r="A56" s="21" t="s">
        <v>90</v>
      </c>
      <c r="B56" s="25" t="s">
        <v>0</v>
      </c>
      <c r="C56" s="2"/>
      <c r="D56" s="5"/>
      <c r="E56" s="5"/>
      <c r="F56" s="5"/>
      <c r="G56" s="5"/>
      <c r="H56" s="5"/>
      <c r="I56" s="5"/>
      <c r="J56" s="5"/>
      <c r="K56" s="39"/>
      <c r="L56" s="48"/>
      <c r="M56" s="48"/>
      <c r="N56" s="47"/>
      <c r="O56" s="19"/>
      <c r="P56" s="102">
        <f>P9</f>
        <v>24902.348880708516</v>
      </c>
    </row>
    <row r="57" spans="1:16" ht="27" customHeight="1" x14ac:dyDescent="0.25">
      <c r="A57" s="21" t="s">
        <v>685</v>
      </c>
      <c r="B57" s="22" t="s">
        <v>28</v>
      </c>
      <c r="C57" s="2"/>
      <c r="D57" s="5"/>
      <c r="E57" s="5"/>
      <c r="F57" s="5"/>
      <c r="G57" s="5"/>
      <c r="H57" s="5"/>
      <c r="I57" s="5"/>
      <c r="J57" s="5"/>
      <c r="K57" s="39"/>
      <c r="L57" s="48"/>
      <c r="M57" s="48"/>
      <c r="N57" s="47"/>
      <c r="O57" s="19"/>
      <c r="P57" s="102">
        <f>P24</f>
        <v>34244.123148372877</v>
      </c>
    </row>
    <row r="58" spans="1:16" ht="27" customHeight="1" x14ac:dyDescent="0.25">
      <c r="A58" s="21" t="s">
        <v>686</v>
      </c>
      <c r="B58" s="22" t="s">
        <v>30</v>
      </c>
      <c r="C58" s="2"/>
      <c r="D58" s="5"/>
      <c r="E58" s="5"/>
      <c r="F58" s="5"/>
      <c r="G58" s="5"/>
      <c r="H58" s="5"/>
      <c r="I58" s="5"/>
      <c r="J58" s="5"/>
      <c r="K58" s="39"/>
      <c r="L58" s="48"/>
      <c r="M58" s="48"/>
      <c r="N58" s="47"/>
      <c r="O58" s="19"/>
      <c r="P58" s="102">
        <f>P26</f>
        <v>11535.450375065266</v>
      </c>
    </row>
    <row r="59" spans="1:16" ht="27" customHeight="1" x14ac:dyDescent="0.25">
      <c r="A59" s="21" t="s">
        <v>687</v>
      </c>
      <c r="B59" s="22" t="s">
        <v>32</v>
      </c>
      <c r="C59" s="2"/>
      <c r="D59" s="5"/>
      <c r="E59" s="5"/>
      <c r="F59" s="5"/>
      <c r="G59" s="5"/>
      <c r="H59" s="5"/>
      <c r="I59" s="5"/>
      <c r="J59" s="5"/>
      <c r="K59" s="39"/>
      <c r="L59" s="48"/>
      <c r="M59" s="48"/>
      <c r="N59" s="47"/>
      <c r="O59" s="19"/>
      <c r="P59" s="75">
        <f>P28</f>
        <v>62065.98660364504</v>
      </c>
    </row>
    <row r="60" spans="1:16" ht="27" customHeight="1" x14ac:dyDescent="0.25">
      <c r="A60" s="21" t="s">
        <v>690</v>
      </c>
      <c r="B60" s="22" t="s">
        <v>6</v>
      </c>
      <c r="C60" s="2"/>
      <c r="D60" s="5"/>
      <c r="E60" s="5"/>
      <c r="F60" s="5"/>
      <c r="G60" s="5"/>
      <c r="H60" s="5"/>
      <c r="I60" s="5"/>
      <c r="J60" s="5"/>
      <c r="K60" s="39"/>
      <c r="L60" s="48"/>
      <c r="M60" s="48"/>
      <c r="N60" s="47"/>
      <c r="O60" s="19"/>
      <c r="P60" s="102">
        <f>P42</f>
        <v>195212.60839999991</v>
      </c>
    </row>
    <row r="61" spans="1:16" ht="27" customHeight="1" x14ac:dyDescent="0.25">
      <c r="A61" s="21" t="s">
        <v>691</v>
      </c>
      <c r="B61" s="22" t="s">
        <v>5</v>
      </c>
      <c r="C61" s="2"/>
      <c r="D61" s="5"/>
      <c r="E61" s="5"/>
      <c r="F61" s="5"/>
      <c r="G61" s="5"/>
      <c r="H61" s="5"/>
      <c r="I61" s="5"/>
      <c r="J61" s="5"/>
      <c r="K61" s="39"/>
      <c r="L61" s="48"/>
      <c r="M61" s="48"/>
      <c r="N61" s="47"/>
      <c r="O61" s="19"/>
      <c r="P61" s="102">
        <f>P41</f>
        <v>59239.323199999999</v>
      </c>
    </row>
    <row r="62" spans="1:16" ht="27" customHeight="1" x14ac:dyDescent="0.25">
      <c r="A62" s="591" t="s">
        <v>87</v>
      </c>
      <c r="B62" s="592"/>
      <c r="C62" s="2"/>
      <c r="D62" s="5"/>
      <c r="E62" s="5"/>
      <c r="F62" s="5"/>
      <c r="G62" s="5"/>
      <c r="H62" s="5"/>
      <c r="I62" s="5"/>
      <c r="J62" s="5"/>
      <c r="K62" s="39"/>
      <c r="L62" s="48"/>
      <c r="M62" s="48"/>
      <c r="N62" s="47"/>
      <c r="O62" s="19"/>
      <c r="P62" s="56">
        <f>SUM(P56:P61)</f>
        <v>387199.84060779162</v>
      </c>
    </row>
    <row r="63" spans="1:16" s="28" customFormat="1" ht="45" customHeight="1" x14ac:dyDescent="0.25">
      <c r="A63" s="26"/>
      <c r="B63" s="27" t="s">
        <v>61</v>
      </c>
      <c r="C63" s="18">
        <f>D63/C4/12</f>
        <v>0</v>
      </c>
      <c r="D63" s="18">
        <f>D9+D13+D22+D40+D41+D42+D43</f>
        <v>0</v>
      </c>
      <c r="E63" s="18">
        <f>F63/E4/12</f>
        <v>0</v>
      </c>
      <c r="F63" s="18">
        <f>F9+F13+F22+F40+F41+F42+F43</f>
        <v>0</v>
      </c>
      <c r="G63" s="18">
        <f>H63/G4/12</f>
        <v>0</v>
      </c>
      <c r="H63" s="18">
        <f>H9+H13+H22+H40+H41+H42+H43</f>
        <v>0</v>
      </c>
      <c r="I63" s="18">
        <f>J63/I4/9</f>
        <v>21.772746657745937</v>
      </c>
      <c r="J63" s="18">
        <f>J9+J13+J22+J40+J41+J42+J43</f>
        <v>4703699.0564999999</v>
      </c>
      <c r="K63" s="33">
        <f>K9+K13+K22+K40+K41+K42</f>
        <v>4271626.8765000002</v>
      </c>
      <c r="L63" s="51">
        <f>L9+L13+L22+L40+L41+L42</f>
        <v>3971853.9954829193</v>
      </c>
      <c r="M63" s="51">
        <f>M9+M13+M22+M40+M41+M42</f>
        <v>147381.95560871248</v>
      </c>
      <c r="N63" s="51">
        <f>N9+N13+N22+N40+N41+N42</f>
        <v>20169.681551820991</v>
      </c>
      <c r="O63" s="19">
        <f>O9+O13+O22+O40+O41+O42</f>
        <v>4139405.6326434528</v>
      </c>
      <c r="P63" s="56">
        <f t="shared" si="3"/>
        <v>132221.2438565474</v>
      </c>
    </row>
    <row r="64" spans="1:16" s="11" customFormat="1" ht="16.5" customHeight="1" x14ac:dyDescent="0.25">
      <c r="A64" s="6"/>
      <c r="B64" s="7"/>
      <c r="C64" s="40"/>
      <c r="D64" s="58"/>
      <c r="E64" s="40"/>
      <c r="F64" s="40"/>
      <c r="G64" s="40"/>
      <c r="H64" s="40"/>
      <c r="I64" s="40"/>
      <c r="J64" s="40"/>
      <c r="K64" s="40"/>
      <c r="L64" s="42"/>
      <c r="M64" s="42"/>
      <c r="N64" s="42"/>
      <c r="O64" s="42"/>
      <c r="P64" s="42"/>
    </row>
    <row r="65" spans="1:16" s="11" customFormat="1" ht="19.5" customHeight="1" x14ac:dyDescent="0.25">
      <c r="A65" s="6"/>
      <c r="B65" s="7"/>
      <c r="C65" s="40"/>
      <c r="D65" s="58"/>
      <c r="E65" s="40"/>
      <c r="F65" s="40"/>
      <c r="G65" s="40"/>
      <c r="H65" s="40"/>
      <c r="I65" s="40"/>
      <c r="J65" s="40"/>
      <c r="K65" s="40"/>
      <c r="L65" s="42"/>
      <c r="M65" s="42"/>
      <c r="N65" s="42"/>
      <c r="O65" s="42"/>
      <c r="P65" s="42"/>
    </row>
    <row r="66" spans="1:16" s="31" customFormat="1" ht="12" hidden="1" customHeight="1" x14ac:dyDescent="0.25">
      <c r="A66" s="77"/>
      <c r="B66" s="30" t="s">
        <v>64</v>
      </c>
      <c r="C66" s="59"/>
      <c r="D66" s="60" t="s">
        <v>62</v>
      </c>
      <c r="E66" s="61"/>
      <c r="F66" s="62">
        <f>D63+F63+H63</f>
        <v>0</v>
      </c>
      <c r="G66" s="41"/>
      <c r="H66" s="41"/>
      <c r="I66" s="59" t="s">
        <v>63</v>
      </c>
      <c r="J66" s="62">
        <f>J63</f>
        <v>4703699.0564999999</v>
      </c>
      <c r="K66" s="43">
        <f>F66+J66</f>
        <v>4703699.0564999999</v>
      </c>
      <c r="L66" s="44"/>
      <c r="M66" s="44"/>
      <c r="N66" s="44"/>
      <c r="O66" s="44"/>
      <c r="P66" s="44"/>
    </row>
    <row r="67" spans="1:16" s="31" customFormat="1" ht="12" customHeight="1" x14ac:dyDescent="0.25">
      <c r="A67" s="77"/>
      <c r="B67" s="30"/>
      <c r="C67" s="69"/>
      <c r="D67" s="70"/>
      <c r="E67" s="69"/>
      <c r="F67" s="71"/>
      <c r="G67" s="41"/>
      <c r="H67" s="41"/>
      <c r="I67" s="69"/>
      <c r="J67" s="71"/>
      <c r="K67" s="43"/>
      <c r="L67" s="44"/>
      <c r="M67" s="44"/>
      <c r="N67" s="44"/>
      <c r="O67" s="44"/>
      <c r="P67" s="44"/>
    </row>
    <row r="68" spans="1:16" s="11" customFormat="1" x14ac:dyDescent="0.25">
      <c r="A68" s="6"/>
      <c r="B68" s="7"/>
      <c r="C68" s="40"/>
      <c r="D68" s="58"/>
      <c r="E68" s="40"/>
      <c r="F68" s="40"/>
      <c r="G68" s="40"/>
      <c r="H68" s="40"/>
      <c r="I68" s="40"/>
      <c r="J68" s="40"/>
      <c r="K68" s="40"/>
      <c r="L68" s="42"/>
      <c r="M68" s="42"/>
      <c r="N68" s="42"/>
      <c r="O68" s="42"/>
      <c r="P68" s="42"/>
    </row>
    <row r="69" spans="1:16" s="11" customFormat="1" x14ac:dyDescent="0.25">
      <c r="A69" s="6"/>
      <c r="B69" s="7"/>
      <c r="C69" s="40"/>
      <c r="D69" s="58"/>
      <c r="E69" s="40"/>
      <c r="F69" s="40"/>
      <c r="G69" s="40"/>
      <c r="H69" s="40"/>
      <c r="I69" s="40"/>
      <c r="J69" s="40"/>
      <c r="K69" s="40"/>
      <c r="L69" s="42"/>
      <c r="M69" s="42"/>
      <c r="N69" s="42"/>
      <c r="O69" s="42"/>
      <c r="P69" s="42"/>
    </row>
    <row r="70" spans="1:16" s="11" customFormat="1" x14ac:dyDescent="0.25">
      <c r="A70" s="6"/>
      <c r="B70" s="7"/>
      <c r="C70" s="40"/>
      <c r="D70" s="58"/>
      <c r="E70" s="40"/>
      <c r="F70" s="40"/>
      <c r="G70" s="40"/>
      <c r="H70" s="40"/>
      <c r="I70" s="40"/>
      <c r="J70" s="40"/>
      <c r="K70" s="40"/>
      <c r="L70" s="42"/>
      <c r="M70" s="42"/>
      <c r="N70" s="42"/>
      <c r="O70" s="42"/>
      <c r="P70" s="42"/>
    </row>
    <row r="71" spans="1:16" s="11" customFormat="1" x14ac:dyDescent="0.25">
      <c r="A71" s="6"/>
      <c r="B71" s="7"/>
      <c r="C71" s="40"/>
      <c r="D71" s="58"/>
      <c r="E71" s="40"/>
      <c r="F71" s="40"/>
      <c r="G71" s="40"/>
      <c r="H71" s="40"/>
      <c r="I71" s="40"/>
      <c r="J71" s="40"/>
      <c r="K71" s="40"/>
      <c r="L71" s="42"/>
      <c r="M71" s="42"/>
      <c r="N71" s="42"/>
      <c r="O71" s="42"/>
      <c r="P71" s="42"/>
    </row>
    <row r="72" spans="1:16" s="11" customFormat="1" x14ac:dyDescent="0.25">
      <c r="A72" s="6"/>
      <c r="B72" s="7"/>
      <c r="C72" s="40"/>
      <c r="D72" s="58"/>
      <c r="E72" s="40"/>
      <c r="F72" s="40"/>
      <c r="G72" s="40"/>
      <c r="H72" s="40"/>
      <c r="I72" s="40"/>
      <c r="J72" s="40"/>
      <c r="K72" s="40"/>
      <c r="L72" s="42"/>
      <c r="M72" s="42"/>
      <c r="N72" s="42"/>
      <c r="O72" s="42"/>
      <c r="P72" s="42"/>
    </row>
    <row r="73" spans="1:16" s="11" customFormat="1" x14ac:dyDescent="0.25">
      <c r="A73" s="6"/>
      <c r="B73" s="7"/>
      <c r="C73" s="40"/>
      <c r="D73" s="58"/>
      <c r="E73" s="40"/>
      <c r="F73" s="40"/>
      <c r="G73" s="40"/>
      <c r="H73" s="40"/>
      <c r="I73" s="40"/>
      <c r="J73" s="40"/>
      <c r="K73" s="40"/>
      <c r="L73" s="42"/>
      <c r="M73" s="42"/>
      <c r="N73" s="42"/>
      <c r="O73" s="42"/>
      <c r="P73" s="42"/>
    </row>
    <row r="74" spans="1:16" s="32" customFormat="1" x14ac:dyDescent="0.25">
      <c r="A74" s="34"/>
      <c r="B74" s="35"/>
      <c r="C74" s="8"/>
      <c r="D74" s="9"/>
      <c r="E74" s="8"/>
      <c r="F74" s="8"/>
      <c r="G74" s="8"/>
      <c r="H74" s="8"/>
      <c r="I74" s="8"/>
      <c r="J74" s="8"/>
      <c r="K74" s="8"/>
      <c r="L74" s="36"/>
      <c r="M74" s="36"/>
      <c r="N74" s="36"/>
      <c r="O74" s="36"/>
      <c r="P74" s="36"/>
    </row>
    <row r="75" spans="1:16" s="32" customFormat="1" x14ac:dyDescent="0.25">
      <c r="A75" s="34"/>
      <c r="B75" s="35"/>
      <c r="C75" s="8"/>
      <c r="D75" s="9"/>
      <c r="E75" s="8"/>
      <c r="F75" s="8"/>
      <c r="G75" s="8"/>
      <c r="H75" s="8"/>
      <c r="I75" s="8"/>
      <c r="J75" s="8"/>
      <c r="K75" s="8"/>
      <c r="L75" s="36"/>
      <c r="M75" s="36"/>
      <c r="N75" s="36"/>
      <c r="O75" s="36"/>
      <c r="P75" s="36"/>
    </row>
    <row r="76" spans="1:16" s="32" customFormat="1" x14ac:dyDescent="0.25">
      <c r="A76" s="34"/>
      <c r="B76" s="35"/>
      <c r="C76" s="8"/>
      <c r="D76" s="9"/>
      <c r="E76" s="8"/>
      <c r="F76" s="8"/>
      <c r="G76" s="8"/>
      <c r="H76" s="8"/>
      <c r="I76" s="8"/>
      <c r="J76" s="8"/>
      <c r="K76" s="8"/>
      <c r="L76" s="36"/>
      <c r="M76" s="36"/>
      <c r="N76" s="36"/>
      <c r="O76" s="36"/>
      <c r="P76" s="36"/>
    </row>
    <row r="77" spans="1:16" s="32" customFormat="1" ht="6" customHeight="1" x14ac:dyDescent="0.25">
      <c r="A77" s="34"/>
      <c r="B77" s="35"/>
      <c r="C77" s="8"/>
      <c r="D77" s="9"/>
      <c r="E77" s="8"/>
      <c r="F77" s="8"/>
      <c r="G77" s="8"/>
      <c r="H77" s="8"/>
      <c r="I77" s="8"/>
      <c r="J77" s="8"/>
      <c r="K77" s="8"/>
      <c r="L77" s="36"/>
      <c r="M77" s="36"/>
      <c r="N77" s="36"/>
      <c r="O77" s="36"/>
      <c r="P77" s="36"/>
    </row>
    <row r="78" spans="1:16" s="32" customFormat="1" ht="12" hidden="1" customHeight="1" x14ac:dyDescent="0.25">
      <c r="A78" s="34"/>
      <c r="B78" s="35"/>
      <c r="C78" s="8"/>
      <c r="D78" s="9"/>
      <c r="E78" s="8"/>
      <c r="F78" s="8"/>
      <c r="G78" s="8"/>
      <c r="H78" s="8"/>
      <c r="I78" s="8"/>
      <c r="J78" s="8"/>
      <c r="K78" s="8"/>
      <c r="L78" s="36"/>
      <c r="M78" s="36"/>
      <c r="N78" s="36"/>
      <c r="O78" s="36"/>
      <c r="P78" s="36"/>
    </row>
    <row r="79" spans="1:16" s="32" customFormat="1" ht="11.25" customHeight="1" x14ac:dyDescent="0.25">
      <c r="A79" s="34"/>
      <c r="B79" s="35"/>
      <c r="C79" s="8"/>
      <c r="D79" s="9"/>
      <c r="E79" s="8"/>
      <c r="F79" s="8"/>
      <c r="G79" s="8"/>
      <c r="H79" s="8"/>
      <c r="I79" s="8"/>
      <c r="J79" s="8"/>
      <c r="K79" s="8"/>
      <c r="L79" s="36"/>
      <c r="M79" s="36"/>
      <c r="N79" s="36"/>
      <c r="O79" s="36"/>
      <c r="P79" s="36"/>
    </row>
    <row r="80" spans="1:16" s="11" customFormat="1" x14ac:dyDescent="0.25">
      <c r="A80" s="6"/>
      <c r="B80" s="7"/>
      <c r="C80" s="40"/>
      <c r="D80" s="58"/>
      <c r="E80" s="40"/>
      <c r="F80" s="40"/>
      <c r="G80" s="40"/>
      <c r="H80" s="40"/>
      <c r="I80" s="40"/>
      <c r="J80" s="40"/>
      <c r="K80" s="40"/>
      <c r="L80" s="42"/>
      <c r="M80" s="42"/>
      <c r="N80" s="42"/>
      <c r="O80" s="42"/>
      <c r="P80" s="42"/>
    </row>
    <row r="81" spans="1:16" s="11" customFormat="1" ht="409.5" customHeight="1" x14ac:dyDescent="0.25">
      <c r="A81" s="6"/>
      <c r="B81" s="7"/>
      <c r="C81" s="8"/>
      <c r="D81" s="9"/>
      <c r="E81" s="8"/>
      <c r="F81" s="8"/>
      <c r="G81" s="8"/>
      <c r="H81" s="8"/>
      <c r="I81" s="8"/>
      <c r="J81" s="8"/>
      <c r="K81" s="40"/>
      <c r="L81" s="42"/>
      <c r="M81" s="42"/>
      <c r="N81" s="42"/>
      <c r="O81" s="42"/>
      <c r="P81" s="42"/>
    </row>
  </sheetData>
  <mergeCells count="23">
    <mergeCell ref="A53:B53"/>
    <mergeCell ref="A62:B62"/>
    <mergeCell ref="C5:H5"/>
    <mergeCell ref="C6:J6"/>
    <mergeCell ref="A2:A8"/>
    <mergeCell ref="B2:K2"/>
    <mergeCell ref="B3:B7"/>
    <mergeCell ref="C3:D3"/>
    <mergeCell ref="E3:F3"/>
    <mergeCell ref="G3:H3"/>
    <mergeCell ref="I3:J3"/>
    <mergeCell ref="N3:N7"/>
    <mergeCell ref="O3:O7"/>
    <mergeCell ref="A1:P1"/>
    <mergeCell ref="G4:H4"/>
    <mergeCell ref="I4:J4"/>
    <mergeCell ref="L2:O2"/>
    <mergeCell ref="P2:P7"/>
    <mergeCell ref="C4:D4"/>
    <mergeCell ref="E4:F4"/>
    <mergeCell ref="K3:K7"/>
    <mergeCell ref="L3:L7"/>
    <mergeCell ref="M3:M7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81"/>
  <sheetViews>
    <sheetView workbookViewId="0">
      <selection activeCell="R26" sqref="R26"/>
    </sheetView>
  </sheetViews>
  <sheetFormatPr defaultRowHeight="12" x14ac:dyDescent="0.25"/>
  <cols>
    <col min="1" max="1" width="5.5703125" style="21" customWidth="1"/>
    <col min="2" max="2" width="17.28515625" style="7" customWidth="1"/>
    <col min="3" max="3" width="9.5703125" style="8" hidden="1" customWidth="1"/>
    <col min="4" max="4" width="10.140625" style="9" hidden="1" customWidth="1"/>
    <col min="5" max="5" width="9.28515625" style="8" hidden="1" customWidth="1"/>
    <col min="6" max="6" width="9.7109375" style="8" hidden="1" customWidth="1"/>
    <col min="7" max="7" width="8.28515625" style="8" hidden="1" customWidth="1"/>
    <col min="8" max="8" width="10.28515625" style="8" hidden="1" customWidth="1"/>
    <col min="9" max="9" width="8.85546875" style="8" hidden="1" customWidth="1"/>
    <col min="10" max="10" width="9.85546875" style="8" hidden="1" customWidth="1"/>
    <col min="11" max="11" width="12.140625" style="40" customWidth="1"/>
    <col min="12" max="14" width="11.7109375" style="497" hidden="1" customWidth="1"/>
    <col min="15" max="15" width="11.7109375" style="497" customWidth="1"/>
    <col min="16" max="16" width="13.140625" style="498" customWidth="1"/>
    <col min="17" max="16384" width="9.140625" style="12"/>
  </cols>
  <sheetData>
    <row r="1" spans="1:16" s="11" customFormat="1" ht="18.75" customHeight="1" x14ac:dyDescent="0.25">
      <c r="A1" s="638" t="s">
        <v>116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</row>
    <row r="2" spans="1:16" ht="35.25" customHeight="1" x14ac:dyDescent="0.25">
      <c r="A2" s="487" t="s">
        <v>12</v>
      </c>
      <c r="B2" s="490" t="s">
        <v>7</v>
      </c>
      <c r="C2" s="484"/>
      <c r="D2" s="484"/>
      <c r="E2" s="484"/>
      <c r="F2" s="484"/>
      <c r="G2" s="484"/>
      <c r="H2" s="484"/>
      <c r="I2" s="484"/>
      <c r="J2" s="484"/>
      <c r="K2" s="494" t="s">
        <v>221</v>
      </c>
      <c r="M2" s="511"/>
      <c r="N2" s="511"/>
      <c r="O2" s="512" t="s">
        <v>783</v>
      </c>
      <c r="P2" s="496" t="s">
        <v>784</v>
      </c>
    </row>
    <row r="3" spans="1:16" ht="12" hidden="1" customHeight="1" x14ac:dyDescent="0.25">
      <c r="A3" s="488"/>
      <c r="C3" s="504" t="s">
        <v>9</v>
      </c>
      <c r="D3" s="505"/>
      <c r="E3" s="506" t="s">
        <v>10</v>
      </c>
      <c r="F3" s="507"/>
      <c r="G3" s="506" t="s">
        <v>11</v>
      </c>
      <c r="H3" s="507"/>
      <c r="I3" s="506" t="s">
        <v>58</v>
      </c>
      <c r="J3" s="507"/>
      <c r="L3" s="495" t="s">
        <v>70</v>
      </c>
      <c r="M3" s="495" t="s">
        <v>71</v>
      </c>
      <c r="N3" s="495" t="s">
        <v>72</v>
      </c>
      <c r="O3" s="495" t="s">
        <v>73</v>
      </c>
      <c r="P3" s="485"/>
    </row>
    <row r="4" spans="1:16" ht="12" hidden="1" customHeight="1" x14ac:dyDescent="0.25">
      <c r="A4" s="488"/>
      <c r="B4" s="491"/>
      <c r="C4" s="504">
        <v>6414.1</v>
      </c>
      <c r="D4" s="505"/>
      <c r="E4" s="506">
        <v>6387.7</v>
      </c>
      <c r="F4" s="507"/>
      <c r="G4" s="506">
        <v>6497.32</v>
      </c>
      <c r="H4" s="507"/>
      <c r="I4" s="506">
        <v>24004.01</v>
      </c>
      <c r="J4" s="507"/>
      <c r="K4" s="479"/>
      <c r="L4" s="481"/>
      <c r="M4" s="481"/>
      <c r="N4" s="481"/>
      <c r="O4" s="481"/>
      <c r="P4" s="485"/>
    </row>
    <row r="5" spans="1:16" ht="12" hidden="1" customHeight="1" x14ac:dyDescent="0.25">
      <c r="A5" s="488"/>
      <c r="B5" s="491"/>
      <c r="C5" s="504">
        <f>C4+E4+G4</f>
        <v>19299.12</v>
      </c>
      <c r="D5" s="508"/>
      <c r="E5" s="508"/>
      <c r="F5" s="508"/>
      <c r="G5" s="508"/>
      <c r="H5" s="505"/>
      <c r="I5" s="476"/>
      <c r="J5" s="477"/>
      <c r="K5" s="479"/>
      <c r="L5" s="481"/>
      <c r="M5" s="481"/>
      <c r="N5" s="481"/>
      <c r="O5" s="481"/>
      <c r="P5" s="485"/>
    </row>
    <row r="6" spans="1:16" ht="12" hidden="1" customHeight="1" x14ac:dyDescent="0.25">
      <c r="A6" s="488"/>
      <c r="B6" s="491"/>
      <c r="C6" s="504">
        <f>C5+I4</f>
        <v>43303.13</v>
      </c>
      <c r="D6" s="508"/>
      <c r="E6" s="508"/>
      <c r="F6" s="508"/>
      <c r="G6" s="508"/>
      <c r="H6" s="508"/>
      <c r="I6" s="508"/>
      <c r="J6" s="505"/>
      <c r="K6" s="479"/>
      <c r="L6" s="481"/>
      <c r="M6" s="481"/>
      <c r="N6" s="481"/>
      <c r="O6" s="481"/>
      <c r="P6" s="485"/>
    </row>
    <row r="7" spans="1:16" ht="38.25" hidden="1" x14ac:dyDescent="0.25">
      <c r="A7" s="488"/>
      <c r="B7" s="492"/>
      <c r="C7" s="13" t="s">
        <v>68</v>
      </c>
      <c r="D7" s="14" t="s">
        <v>8</v>
      </c>
      <c r="E7" s="13" t="s">
        <v>68</v>
      </c>
      <c r="F7" s="14" t="s">
        <v>8</v>
      </c>
      <c r="G7" s="13" t="s">
        <v>68</v>
      </c>
      <c r="H7" s="14" t="s">
        <v>8</v>
      </c>
      <c r="I7" s="13" t="s">
        <v>68</v>
      </c>
      <c r="J7" s="14" t="s">
        <v>8</v>
      </c>
      <c r="K7" s="480"/>
      <c r="L7" s="482"/>
      <c r="M7" s="482"/>
      <c r="N7" s="482"/>
      <c r="O7" s="482"/>
      <c r="P7" s="486"/>
    </row>
    <row r="8" spans="1:16" hidden="1" x14ac:dyDescent="0.25">
      <c r="A8" s="489"/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5">
        <v>10</v>
      </c>
      <c r="L8" s="15">
        <v>11</v>
      </c>
      <c r="M8" s="54">
        <v>12</v>
      </c>
      <c r="N8" s="54">
        <v>13</v>
      </c>
      <c r="O8" s="54">
        <v>14</v>
      </c>
      <c r="P8" s="26" t="s">
        <v>69</v>
      </c>
    </row>
    <row r="9" spans="1:16" s="20" customFormat="1" ht="34.5" customHeight="1" x14ac:dyDescent="0.25">
      <c r="A9" s="355" t="s">
        <v>13</v>
      </c>
      <c r="B9" s="17" t="s">
        <v>0</v>
      </c>
      <c r="C9" s="1"/>
      <c r="D9" s="18"/>
      <c r="E9" s="18"/>
      <c r="F9" s="18"/>
      <c r="G9" s="1"/>
      <c r="H9" s="18"/>
      <c r="I9" s="1">
        <f t="shared" ref="I9:J9" si="0">SUM(I10:I12)</f>
        <v>0.45999999999999996</v>
      </c>
      <c r="J9" s="18">
        <f t="shared" si="0"/>
        <v>99376.601399999985</v>
      </c>
      <c r="K9" s="51">
        <f>D9+F9+H9+J9</f>
        <v>99376.601399999985</v>
      </c>
      <c r="L9" s="51">
        <f>SUM(L10:L12)</f>
        <v>67660</v>
      </c>
      <c r="M9" s="51">
        <f t="shared" ref="M9:N9" si="1">SUM(M10:M12)</f>
        <v>2933.9670887208381</v>
      </c>
      <c r="N9" s="51">
        <f t="shared" si="1"/>
        <v>3880.2854305706301</v>
      </c>
      <c r="O9" s="51">
        <f>L9+M9+N9</f>
        <v>74474.252519291462</v>
      </c>
      <c r="P9" s="478">
        <f>SUM(P10:P12)</f>
        <v>24902.348880708516</v>
      </c>
    </row>
    <row r="10" spans="1:16" ht="37.5" customHeight="1" x14ac:dyDescent="0.25">
      <c r="A10" s="21" t="s">
        <v>45</v>
      </c>
      <c r="B10" s="22" t="s">
        <v>34</v>
      </c>
      <c r="C10" s="23"/>
      <c r="D10" s="5"/>
      <c r="E10" s="5"/>
      <c r="F10" s="5"/>
      <c r="G10" s="5"/>
      <c r="H10" s="5"/>
      <c r="I10" s="5">
        <v>0.02</v>
      </c>
      <c r="J10" s="5">
        <f>I10*9*$I$4</f>
        <v>4320.7217999999993</v>
      </c>
      <c r="K10" s="103">
        <f t="shared" ref="K10:K19" si="2">D10+F10+H10+J10</f>
        <v>4320.7217999999993</v>
      </c>
      <c r="L10" s="103"/>
      <c r="M10" s="103">
        <f>'Затраты 86'!L2</f>
        <v>2069.2199999999998</v>
      </c>
      <c r="N10" s="103"/>
      <c r="O10" s="51">
        <f>L10+M10+N10</f>
        <v>2069.2199999999998</v>
      </c>
      <c r="P10" s="499">
        <f t="shared" ref="P10:P63" si="3">K10-O10</f>
        <v>2251.5017999999995</v>
      </c>
    </row>
    <row r="11" spans="1:16" ht="36" customHeight="1" x14ac:dyDescent="0.25">
      <c r="A11" s="21" t="s">
        <v>19</v>
      </c>
      <c r="B11" s="22" t="s">
        <v>35</v>
      </c>
      <c r="C11" s="23"/>
      <c r="D11" s="5"/>
      <c r="E11" s="23"/>
      <c r="F11" s="5"/>
      <c r="G11" s="23"/>
      <c r="H11" s="5"/>
      <c r="I11" s="23">
        <v>0.08</v>
      </c>
      <c r="J11" s="5">
        <f>I11*9*$I$4</f>
        <v>17282.887199999997</v>
      </c>
      <c r="K11" s="103">
        <f t="shared" si="2"/>
        <v>17282.887199999997</v>
      </c>
      <c r="M11" s="103">
        <f>'Затраты 86'!E12</f>
        <v>864.74708872083829</v>
      </c>
      <c r="N11" s="103">
        <f>'Затраты 86'!E13</f>
        <v>3880.2854305706301</v>
      </c>
      <c r="O11" s="51">
        <f>L11+M11+N11</f>
        <v>4745.0325192914679</v>
      </c>
      <c r="P11" s="499">
        <f t="shared" si="3"/>
        <v>12537.854680708529</v>
      </c>
    </row>
    <row r="12" spans="1:16" ht="28.5" customHeight="1" x14ac:dyDescent="0.25">
      <c r="A12" s="21" t="s">
        <v>39</v>
      </c>
      <c r="B12" s="22" t="s">
        <v>20</v>
      </c>
      <c r="C12" s="23"/>
      <c r="D12" s="5"/>
      <c r="E12" s="5"/>
      <c r="F12" s="5"/>
      <c r="G12" s="5"/>
      <c r="H12" s="5"/>
      <c r="I12" s="5">
        <v>0.36</v>
      </c>
      <c r="J12" s="5">
        <f>I12*9*$I$4</f>
        <v>77772.992399999988</v>
      </c>
      <c r="K12" s="103">
        <f t="shared" si="2"/>
        <v>77772.992399999988</v>
      </c>
      <c r="L12" s="103">
        <v>67660</v>
      </c>
      <c r="M12" s="103"/>
      <c r="N12" s="103"/>
      <c r="O12" s="51">
        <f>L12+M12+N12</f>
        <v>67660</v>
      </c>
      <c r="P12" s="499">
        <f t="shared" si="3"/>
        <v>10112.992399999988</v>
      </c>
    </row>
    <row r="13" spans="1:16" s="20" customFormat="1" ht="23.25" customHeight="1" x14ac:dyDescent="0.25">
      <c r="A13" s="355" t="s">
        <v>14</v>
      </c>
      <c r="B13" s="17" t="s">
        <v>1</v>
      </c>
      <c r="C13" s="1"/>
      <c r="D13" s="18"/>
      <c r="E13" s="18"/>
      <c r="F13" s="18"/>
      <c r="G13" s="18"/>
      <c r="H13" s="18"/>
      <c r="I13" s="18">
        <f>SUM(I14:I19)</f>
        <v>0.59000000000000008</v>
      </c>
      <c r="J13" s="18">
        <f>SUM(J14:J21)</f>
        <v>127461.2931</v>
      </c>
      <c r="K13" s="51">
        <f>SUM(K14:K21)</f>
        <v>127461.2931</v>
      </c>
      <c r="L13" s="51">
        <f>SUM(L14:L21)</f>
        <v>8115</v>
      </c>
      <c r="M13" s="51">
        <f t="shared" ref="M13:N13" si="4">SUM(M14:M21)</f>
        <v>29069.75</v>
      </c>
      <c r="N13" s="51">
        <f t="shared" si="4"/>
        <v>0</v>
      </c>
      <c r="O13" s="51">
        <f>SUM(O14:O21)</f>
        <v>37184.75</v>
      </c>
      <c r="P13" s="478">
        <f>SUM(P14:P21)</f>
        <v>90276.543099999995</v>
      </c>
    </row>
    <row r="14" spans="1:16" ht="33.75" customHeight="1" x14ac:dyDescent="0.25">
      <c r="A14" s="21" t="s">
        <v>46</v>
      </c>
      <c r="B14" s="25" t="s">
        <v>42</v>
      </c>
      <c r="C14" s="2"/>
      <c r="D14" s="5"/>
      <c r="E14" s="5"/>
      <c r="F14" s="5"/>
      <c r="G14" s="5"/>
      <c r="H14" s="5"/>
      <c r="I14" s="5">
        <v>0.03</v>
      </c>
      <c r="J14" s="5">
        <f>I14*9*$I$4</f>
        <v>6481.0826999999999</v>
      </c>
      <c r="K14" s="103">
        <f t="shared" si="2"/>
        <v>6481.0826999999999</v>
      </c>
      <c r="L14" s="502"/>
      <c r="M14" s="103">
        <f>'Затраты 86'!L5+'Затраты 86'!L9</f>
        <v>12140.05</v>
      </c>
      <c r="N14" s="103"/>
      <c r="O14" s="51">
        <f t="shared" ref="O14:O44" si="5">L14+M14+N14</f>
        <v>12140.05</v>
      </c>
      <c r="P14" s="499">
        <f t="shared" si="3"/>
        <v>-5658.9672999999993</v>
      </c>
    </row>
    <row r="15" spans="1:16" ht="33.75" customHeight="1" x14ac:dyDescent="0.25">
      <c r="A15" s="21" t="s">
        <v>47</v>
      </c>
      <c r="B15" s="25" t="s">
        <v>43</v>
      </c>
      <c r="C15" s="2"/>
      <c r="D15" s="5"/>
      <c r="E15" s="5"/>
      <c r="F15" s="5"/>
      <c r="G15" s="5"/>
      <c r="H15" s="5"/>
      <c r="I15" s="5">
        <v>0.05</v>
      </c>
      <c r="J15" s="5">
        <f>I15*9*$I$4</f>
        <v>10801.8045</v>
      </c>
      <c r="K15" s="103">
        <f t="shared" si="2"/>
        <v>10801.8045</v>
      </c>
      <c r="L15" s="103">
        <f>'Затраты 86'!L17+'Затраты 86'!L18+'Затраты 86'!L4</f>
        <v>8115</v>
      </c>
      <c r="M15" s="103">
        <f>'Затраты 86'!L11</f>
        <v>1652</v>
      </c>
      <c r="N15" s="103"/>
      <c r="O15" s="51">
        <f t="shared" si="5"/>
        <v>9767</v>
      </c>
      <c r="P15" s="499">
        <f t="shared" si="3"/>
        <v>1034.8045000000002</v>
      </c>
    </row>
    <row r="16" spans="1:16" ht="33.75" customHeight="1" x14ac:dyDescent="0.25">
      <c r="A16" s="21" t="s">
        <v>48</v>
      </c>
      <c r="B16" s="25" t="s">
        <v>24</v>
      </c>
      <c r="C16" s="2"/>
      <c r="D16" s="5"/>
      <c r="E16" s="5"/>
      <c r="F16" s="5"/>
      <c r="G16" s="5"/>
      <c r="H16" s="5"/>
      <c r="I16" s="5">
        <v>0.04</v>
      </c>
      <c r="J16" s="5">
        <f t="shared" ref="J16:J19" si="6">I16*9*$I$4</f>
        <v>8641.4435999999987</v>
      </c>
      <c r="K16" s="103">
        <f t="shared" si="2"/>
        <v>8641.4435999999987</v>
      </c>
      <c r="M16" s="103">
        <f>'Затраты 86'!L6</f>
        <v>8537</v>
      </c>
      <c r="N16" s="103"/>
      <c r="O16" s="51">
        <f>L16+M16+N16</f>
        <v>8537</v>
      </c>
      <c r="P16" s="499">
        <f t="shared" si="3"/>
        <v>104.4435999999987</v>
      </c>
    </row>
    <row r="17" spans="1:16" ht="33.75" customHeight="1" x14ac:dyDescent="0.25">
      <c r="A17" s="21" t="s">
        <v>49</v>
      </c>
      <c r="B17" s="25" t="s">
        <v>25</v>
      </c>
      <c r="C17" s="2"/>
      <c r="D17" s="5"/>
      <c r="E17" s="5"/>
      <c r="F17" s="5"/>
      <c r="G17" s="5"/>
      <c r="H17" s="5"/>
      <c r="I17" s="5">
        <v>0.33</v>
      </c>
      <c r="J17" s="5">
        <f t="shared" si="6"/>
        <v>71291.909700000004</v>
      </c>
      <c r="K17" s="103">
        <f t="shared" si="2"/>
        <v>71291.909700000004</v>
      </c>
      <c r="L17" s="103"/>
      <c r="M17" s="103">
        <f>'Затраты 86'!L7</f>
        <v>1180</v>
      </c>
      <c r="N17" s="103"/>
      <c r="O17" s="51">
        <f t="shared" si="5"/>
        <v>1180</v>
      </c>
      <c r="P17" s="499">
        <f t="shared" si="3"/>
        <v>70111.909700000004</v>
      </c>
    </row>
    <row r="18" spans="1:16" ht="33.75" customHeight="1" x14ac:dyDescent="0.25">
      <c r="A18" s="21" t="s">
        <v>50</v>
      </c>
      <c r="B18" s="25" t="s">
        <v>26</v>
      </c>
      <c r="C18" s="2"/>
      <c r="D18" s="5"/>
      <c r="E18" s="5"/>
      <c r="F18" s="5"/>
      <c r="G18" s="5"/>
      <c r="H18" s="5"/>
      <c r="I18" s="5">
        <v>0.08</v>
      </c>
      <c r="J18" s="5">
        <f t="shared" si="6"/>
        <v>17282.887199999997</v>
      </c>
      <c r="K18" s="103">
        <f t="shared" si="2"/>
        <v>17282.887199999997</v>
      </c>
      <c r="L18" s="103"/>
      <c r="M18" s="103">
        <v>5560.7</v>
      </c>
      <c r="N18" s="502"/>
      <c r="O18" s="51">
        <f t="shared" si="5"/>
        <v>5560.7</v>
      </c>
      <c r="P18" s="499">
        <f t="shared" si="3"/>
        <v>11722.187199999997</v>
      </c>
    </row>
    <row r="19" spans="1:16" ht="33.75" customHeight="1" x14ac:dyDescent="0.25">
      <c r="A19" s="21" t="s">
        <v>51</v>
      </c>
      <c r="B19" s="25" t="s">
        <v>27</v>
      </c>
      <c r="C19" s="2"/>
      <c r="D19" s="5"/>
      <c r="E19" s="5"/>
      <c r="F19" s="5"/>
      <c r="G19" s="5"/>
      <c r="H19" s="5"/>
      <c r="I19" s="5">
        <v>0.06</v>
      </c>
      <c r="J19" s="5">
        <f t="shared" si="6"/>
        <v>12962.1654</v>
      </c>
      <c r="K19" s="103">
        <f t="shared" si="2"/>
        <v>12962.1654</v>
      </c>
      <c r="L19" s="502"/>
      <c r="M19" s="103"/>
      <c r="N19" s="103"/>
      <c r="O19" s="51">
        <f t="shared" si="5"/>
        <v>0</v>
      </c>
      <c r="P19" s="499">
        <f t="shared" si="3"/>
        <v>12962.1654</v>
      </c>
    </row>
    <row r="20" spans="1:16" ht="33.75" hidden="1" customHeight="1" x14ac:dyDescent="0.25">
      <c r="A20" s="21" t="s">
        <v>65</v>
      </c>
      <c r="B20" s="25" t="s">
        <v>75</v>
      </c>
      <c r="C20" s="2"/>
      <c r="D20" s="5"/>
      <c r="E20" s="5"/>
      <c r="F20" s="5"/>
      <c r="G20" s="5"/>
      <c r="H20" s="5"/>
      <c r="I20" s="5"/>
      <c r="J20" s="5"/>
      <c r="K20" s="103"/>
      <c r="L20" s="103"/>
      <c r="M20" s="103"/>
      <c r="N20" s="103"/>
      <c r="O20" s="51">
        <f t="shared" si="5"/>
        <v>0</v>
      </c>
      <c r="P20" s="499">
        <f t="shared" si="3"/>
        <v>0</v>
      </c>
    </row>
    <row r="21" spans="1:16" ht="33.75" hidden="1" customHeight="1" x14ac:dyDescent="0.25">
      <c r="A21" s="21" t="s">
        <v>74</v>
      </c>
      <c r="B21" s="25" t="s">
        <v>80</v>
      </c>
      <c r="C21" s="2"/>
      <c r="D21" s="5"/>
      <c r="E21" s="5"/>
      <c r="F21" s="5"/>
      <c r="G21" s="5"/>
      <c r="H21" s="5"/>
      <c r="I21" s="5"/>
      <c r="J21" s="5"/>
      <c r="K21" s="103"/>
      <c r="L21" s="103"/>
      <c r="M21" s="103"/>
      <c r="N21" s="103"/>
      <c r="O21" s="51">
        <f t="shared" si="5"/>
        <v>0</v>
      </c>
      <c r="P21" s="499">
        <f t="shared" si="3"/>
        <v>0</v>
      </c>
    </row>
    <row r="22" spans="1:16" s="20" customFormat="1" ht="24" customHeight="1" x14ac:dyDescent="0.25">
      <c r="A22" s="355" t="s">
        <v>15</v>
      </c>
      <c r="B22" s="17" t="s">
        <v>2</v>
      </c>
      <c r="C22" s="1"/>
      <c r="D22" s="18"/>
      <c r="E22" s="1"/>
      <c r="F22" s="18"/>
      <c r="G22" s="1"/>
      <c r="H22" s="18"/>
      <c r="I22" s="1">
        <f>J22/I4/9</f>
        <v>12.597868047880334</v>
      </c>
      <c r="J22" s="18">
        <f>SUM(J23:J32)</f>
        <v>2721594.1554</v>
      </c>
      <c r="K22" s="51">
        <f t="shared" ref="K22:K33" si="7">D22+F22+H22+J22</f>
        <v>2721594.1554</v>
      </c>
      <c r="L22" s="51">
        <f>SUM(L23:L32)</f>
        <v>2827162.8654829194</v>
      </c>
      <c r="M22" s="51">
        <f t="shared" ref="M22:N22" si="8">SUM(M23:M32)</f>
        <v>6585.9360007001806</v>
      </c>
      <c r="N22" s="51">
        <f t="shared" si="8"/>
        <v>16289.39612125036</v>
      </c>
      <c r="O22" s="51">
        <f t="shared" si="5"/>
        <v>2850038.19760487</v>
      </c>
      <c r="P22" s="478">
        <f t="shared" si="3"/>
        <v>-128444.04220486991</v>
      </c>
    </row>
    <row r="23" spans="1:16" ht="27.75" customHeight="1" x14ac:dyDescent="0.25">
      <c r="A23" s="21" t="s">
        <v>21</v>
      </c>
      <c r="B23" s="25" t="s">
        <v>44</v>
      </c>
      <c r="C23" s="2"/>
      <c r="D23" s="5"/>
      <c r="E23" s="5"/>
      <c r="F23" s="5"/>
      <c r="G23" s="5"/>
      <c r="H23" s="5"/>
      <c r="I23" s="5">
        <v>11.06</v>
      </c>
      <c r="J23" s="5">
        <f>I23*9*I4</f>
        <v>2389359.1554</v>
      </c>
      <c r="K23" s="103">
        <f t="shared" si="7"/>
        <v>2389359.1554</v>
      </c>
      <c r="L23" s="103">
        <v>2430231.23</v>
      </c>
      <c r="M23" s="103"/>
      <c r="N23" s="103"/>
      <c r="O23" s="51">
        <f t="shared" si="5"/>
        <v>2430231.23</v>
      </c>
      <c r="P23" s="499">
        <f t="shared" si="3"/>
        <v>-40872.074599999934</v>
      </c>
    </row>
    <row r="24" spans="1:16" ht="27.75" customHeight="1" x14ac:dyDescent="0.25">
      <c r="A24" s="21" t="s">
        <v>22</v>
      </c>
      <c r="B24" s="22" t="s">
        <v>28</v>
      </c>
      <c r="C24" s="2"/>
      <c r="D24" s="5"/>
      <c r="E24" s="3"/>
      <c r="F24" s="5"/>
      <c r="G24" s="3"/>
      <c r="H24" s="5"/>
      <c r="I24" s="5">
        <v>6108</v>
      </c>
      <c r="J24" s="5">
        <f t="shared" ref="J24:J29" si="9">I24*9</f>
        <v>54972</v>
      </c>
      <c r="K24" s="103">
        <f t="shared" si="7"/>
        <v>54972</v>
      </c>
      <c r="L24" s="500">
        <f>37393/C6*I4</f>
        <v>20727.876851627123</v>
      </c>
      <c r="M24" s="501"/>
      <c r="N24" s="501"/>
      <c r="O24" s="51">
        <f t="shared" si="5"/>
        <v>20727.876851627123</v>
      </c>
      <c r="P24" s="499">
        <f t="shared" si="3"/>
        <v>34244.123148372877</v>
      </c>
    </row>
    <row r="25" spans="1:16" ht="27.75" customHeight="1" x14ac:dyDescent="0.25">
      <c r="A25" s="21" t="s">
        <v>23</v>
      </c>
      <c r="B25" s="22" t="s">
        <v>29</v>
      </c>
      <c r="C25" s="2"/>
      <c r="D25" s="5"/>
      <c r="E25" s="3"/>
      <c r="F25" s="5"/>
      <c r="G25" s="3"/>
      <c r="H25" s="5"/>
      <c r="I25" s="5">
        <v>6140</v>
      </c>
      <c r="J25" s="5">
        <f t="shared" si="9"/>
        <v>55260</v>
      </c>
      <c r="K25" s="103">
        <f t="shared" si="7"/>
        <v>55260</v>
      </c>
      <c r="L25" s="103">
        <f>130164/C6*I4</f>
        <v>72153.166702730261</v>
      </c>
      <c r="M25" s="103"/>
      <c r="N25" s="103"/>
      <c r="O25" s="51">
        <f t="shared" si="5"/>
        <v>72153.166702730261</v>
      </c>
      <c r="P25" s="499">
        <f t="shared" si="3"/>
        <v>-16893.166702730261</v>
      </c>
    </row>
    <row r="26" spans="1:16" ht="27.75" customHeight="1" x14ac:dyDescent="0.25">
      <c r="A26" s="21" t="s">
        <v>40</v>
      </c>
      <c r="B26" s="22" t="s">
        <v>30</v>
      </c>
      <c r="C26" s="2"/>
      <c r="D26" s="5"/>
      <c r="E26" s="5"/>
      <c r="F26" s="5"/>
      <c r="G26" s="5"/>
      <c r="H26" s="5"/>
      <c r="I26" s="5">
        <v>2500</v>
      </c>
      <c r="J26" s="5">
        <f t="shared" si="9"/>
        <v>22500</v>
      </c>
      <c r="K26" s="103">
        <f t="shared" si="7"/>
        <v>22500</v>
      </c>
      <c r="L26" s="103">
        <f>(5150+6030)/C6*I4</f>
        <v>6197.3541358326747</v>
      </c>
      <c r="M26" s="502"/>
      <c r="N26" s="103">
        <f>8600/C6*I4</f>
        <v>4767.1954891020587</v>
      </c>
      <c r="O26" s="51">
        <f t="shared" si="5"/>
        <v>10964.549624934734</v>
      </c>
      <c r="P26" s="499">
        <f t="shared" si="3"/>
        <v>11535.450375065266</v>
      </c>
    </row>
    <row r="27" spans="1:16" ht="27.75" customHeight="1" x14ac:dyDescent="0.25">
      <c r="A27" s="21" t="s">
        <v>52</v>
      </c>
      <c r="B27" s="22" t="s">
        <v>31</v>
      </c>
      <c r="C27" s="2"/>
      <c r="D27" s="5"/>
      <c r="E27" s="5"/>
      <c r="F27" s="5"/>
      <c r="G27" s="5"/>
      <c r="H27" s="5"/>
      <c r="I27" s="5">
        <v>1000</v>
      </c>
      <c r="J27" s="5">
        <f t="shared" si="9"/>
        <v>9000</v>
      </c>
      <c r="K27" s="103">
        <f t="shared" si="7"/>
        <v>9000</v>
      </c>
      <c r="L27" s="103">
        <f>68500/C6*I4</f>
        <v>37971.266395754763</v>
      </c>
      <c r="M27" s="103"/>
      <c r="N27" s="103"/>
      <c r="O27" s="51">
        <f t="shared" si="5"/>
        <v>37971.266395754763</v>
      </c>
      <c r="P27" s="499">
        <f t="shared" si="3"/>
        <v>-28971.266395754763</v>
      </c>
    </row>
    <row r="28" spans="1:16" ht="27.75" customHeight="1" x14ac:dyDescent="0.25">
      <c r="A28" s="21" t="s">
        <v>53</v>
      </c>
      <c r="B28" s="22" t="s">
        <v>32</v>
      </c>
      <c r="C28" s="2"/>
      <c r="D28" s="5"/>
      <c r="E28" s="3"/>
      <c r="F28" s="5"/>
      <c r="G28" s="3"/>
      <c r="H28" s="5"/>
      <c r="I28" s="5">
        <v>21000</v>
      </c>
      <c r="J28" s="5">
        <f t="shared" si="9"/>
        <v>189000</v>
      </c>
      <c r="K28" s="103">
        <f t="shared" si="7"/>
        <v>189000</v>
      </c>
      <c r="L28" s="103">
        <f>228988.41/C6*I4</f>
        <v>126934.01339635496</v>
      </c>
      <c r="M28" s="103"/>
      <c r="N28" s="502"/>
      <c r="O28" s="51">
        <f t="shared" si="5"/>
        <v>126934.01339635496</v>
      </c>
      <c r="P28" s="499">
        <f t="shared" si="3"/>
        <v>62065.98660364504</v>
      </c>
    </row>
    <row r="29" spans="1:16" ht="27.75" customHeight="1" x14ac:dyDescent="0.25">
      <c r="A29" s="21" t="s">
        <v>54</v>
      </c>
      <c r="B29" s="22" t="s">
        <v>33</v>
      </c>
      <c r="C29" s="2"/>
      <c r="D29" s="5"/>
      <c r="E29" s="2"/>
      <c r="F29" s="5"/>
      <c r="G29" s="2"/>
      <c r="H29" s="5"/>
      <c r="I29" s="5">
        <v>167</v>
      </c>
      <c r="J29" s="5">
        <f t="shared" si="9"/>
        <v>1503</v>
      </c>
      <c r="K29" s="103">
        <f t="shared" si="7"/>
        <v>1503</v>
      </c>
      <c r="L29" s="502"/>
      <c r="M29" s="103">
        <f>11502/C6*I4</f>
        <v>6375.8468041455662</v>
      </c>
      <c r="N29" s="103">
        <f>20786/C6*I4</f>
        <v>11522.2006321483</v>
      </c>
      <c r="O29" s="51">
        <f t="shared" si="5"/>
        <v>17898.047436293866</v>
      </c>
      <c r="P29" s="499">
        <f t="shared" si="3"/>
        <v>-16395.047436293866</v>
      </c>
    </row>
    <row r="30" spans="1:16" ht="27.75" customHeight="1" x14ac:dyDescent="0.25">
      <c r="A30" s="21" t="s">
        <v>55</v>
      </c>
      <c r="B30" s="22" t="s">
        <v>36</v>
      </c>
      <c r="C30" s="2"/>
      <c r="D30" s="5"/>
      <c r="E30" s="2"/>
      <c r="F30" s="5"/>
      <c r="G30" s="2"/>
      <c r="H30" s="5"/>
      <c r="I30" s="5"/>
      <c r="J30" s="5"/>
      <c r="K30" s="103"/>
      <c r="L30" s="103">
        <f>5489.54/C6*I4</f>
        <v>3042.989572702943</v>
      </c>
      <c r="M30" s="103">
        <f>379/C6*I4</f>
        <v>210.08919655461398</v>
      </c>
      <c r="N30" s="103"/>
      <c r="O30" s="51">
        <f t="shared" si="5"/>
        <v>3253.0787692575568</v>
      </c>
      <c r="P30" s="499">
        <f t="shared" si="3"/>
        <v>-3253.0787692575568</v>
      </c>
    </row>
    <row r="31" spans="1:16" ht="27.75" customHeight="1" x14ac:dyDescent="0.25">
      <c r="A31" s="21" t="s">
        <v>56</v>
      </c>
      <c r="B31" s="22" t="s">
        <v>82</v>
      </c>
      <c r="C31" s="2"/>
      <c r="D31" s="5"/>
      <c r="E31" s="2"/>
      <c r="F31" s="5"/>
      <c r="G31" s="2"/>
      <c r="H31" s="5"/>
      <c r="I31" s="5"/>
      <c r="J31" s="5"/>
      <c r="K31" s="103"/>
      <c r="L31" s="103">
        <f>104348/C6*I4</f>
        <v>57842.711034514134</v>
      </c>
      <c r="M31" s="103"/>
      <c r="N31" s="103"/>
      <c r="O31" s="51">
        <f t="shared" si="5"/>
        <v>57842.711034514134</v>
      </c>
      <c r="P31" s="499">
        <f t="shared" si="3"/>
        <v>-57842.711034514134</v>
      </c>
    </row>
    <row r="32" spans="1:16" ht="27.75" customHeight="1" x14ac:dyDescent="0.25">
      <c r="A32" s="21" t="s">
        <v>59</v>
      </c>
      <c r="B32" s="22" t="s">
        <v>83</v>
      </c>
      <c r="C32" s="2"/>
      <c r="D32" s="5"/>
      <c r="E32" s="2"/>
      <c r="F32" s="5"/>
      <c r="G32" s="2"/>
      <c r="H32" s="5"/>
      <c r="I32" s="5"/>
      <c r="J32" s="5"/>
      <c r="K32" s="103"/>
      <c r="L32" s="103">
        <f>130000/C6*I4</f>
        <v>72062.257393403197</v>
      </c>
      <c r="M32" s="103"/>
      <c r="N32" s="103"/>
      <c r="O32" s="51">
        <f t="shared" si="5"/>
        <v>72062.257393403197</v>
      </c>
      <c r="P32" s="499">
        <f t="shared" si="3"/>
        <v>-72062.257393403197</v>
      </c>
    </row>
    <row r="33" spans="1:17" ht="27.75" customHeight="1" x14ac:dyDescent="0.25">
      <c r="A33" s="21" t="s">
        <v>56</v>
      </c>
      <c r="B33" s="22" t="s">
        <v>76</v>
      </c>
      <c r="C33" s="2"/>
      <c r="D33" s="5"/>
      <c r="E33" s="2"/>
      <c r="F33" s="5"/>
      <c r="G33" s="2"/>
      <c r="H33" s="5"/>
      <c r="I33" s="5">
        <v>1.82</v>
      </c>
      <c r="J33" s="5">
        <f>I33*9*I4</f>
        <v>393185.68379999994</v>
      </c>
      <c r="K33" s="103">
        <f t="shared" si="7"/>
        <v>393185.68379999994</v>
      </c>
      <c r="L33" s="103">
        <f>SUM(L34:L39)</f>
        <v>75642.642935741605</v>
      </c>
      <c r="M33" s="103">
        <f>SUM(M34:M39)</f>
        <v>34344.315008536338</v>
      </c>
      <c r="N33" s="103">
        <f>SUM(N34:N39)</f>
        <v>32028.901786083363</v>
      </c>
      <c r="O33" s="51">
        <f>SUM(L33:N33)</f>
        <v>142015.85973036129</v>
      </c>
      <c r="P33" s="499">
        <f t="shared" si="3"/>
        <v>251169.82406963865</v>
      </c>
    </row>
    <row r="34" spans="1:17" ht="37.5" customHeight="1" x14ac:dyDescent="0.25">
      <c r="A34" s="21" t="s">
        <v>91</v>
      </c>
      <c r="B34" s="22" t="s">
        <v>60</v>
      </c>
      <c r="C34" s="4"/>
      <c r="D34" s="5"/>
      <c r="E34" s="5"/>
      <c r="F34" s="5"/>
      <c r="G34" s="5"/>
      <c r="H34" s="5"/>
      <c r="I34" s="5"/>
      <c r="J34" s="5"/>
      <c r="K34" s="103"/>
      <c r="L34" s="103">
        <f>43315/C6*I4</f>
        <v>24010.589838425076</v>
      </c>
      <c r="M34" s="103"/>
      <c r="N34" s="103"/>
      <c r="O34" s="51">
        <f t="shared" si="5"/>
        <v>24010.589838425076</v>
      </c>
      <c r="P34" s="499">
        <f t="shared" si="3"/>
        <v>-24010.589838425076</v>
      </c>
    </row>
    <row r="35" spans="1:17" ht="37.5" customHeight="1" x14ac:dyDescent="0.25">
      <c r="A35" s="21" t="s">
        <v>92</v>
      </c>
      <c r="B35" s="22" t="s">
        <v>77</v>
      </c>
      <c r="C35" s="4"/>
      <c r="D35" s="5"/>
      <c r="E35" s="5"/>
      <c r="F35" s="5"/>
      <c r="G35" s="5"/>
      <c r="H35" s="5"/>
      <c r="I35" s="5"/>
      <c r="J35" s="5"/>
      <c r="K35" s="103"/>
      <c r="L35" s="103"/>
      <c r="M35" s="103"/>
      <c r="N35" s="103">
        <f>25090/C6*I4</f>
        <v>13908.01567692682</v>
      </c>
      <c r="O35" s="51">
        <f t="shared" si="5"/>
        <v>13908.01567692682</v>
      </c>
      <c r="P35" s="499">
        <f t="shared" si="3"/>
        <v>-13908.01567692682</v>
      </c>
    </row>
    <row r="36" spans="1:17" ht="37.5" customHeight="1" x14ac:dyDescent="0.25">
      <c r="A36" s="21" t="s">
        <v>93</v>
      </c>
      <c r="B36" s="22" t="s">
        <v>81</v>
      </c>
      <c r="C36" s="4"/>
      <c r="D36" s="5"/>
      <c r="E36" s="5"/>
      <c r="F36" s="5"/>
      <c r="G36" s="5"/>
      <c r="H36" s="5"/>
      <c r="I36" s="5"/>
      <c r="J36" s="5"/>
      <c r="K36" s="103"/>
      <c r="L36" s="103"/>
      <c r="M36" s="103"/>
      <c r="N36" s="103">
        <f>24990/C6*I4</f>
        <v>13852.583171239585</v>
      </c>
      <c r="O36" s="51">
        <f t="shared" si="5"/>
        <v>13852.583171239585</v>
      </c>
      <c r="P36" s="499">
        <f t="shared" si="3"/>
        <v>-13852.583171239585</v>
      </c>
    </row>
    <row r="37" spans="1:17" ht="37.5" customHeight="1" x14ac:dyDescent="0.25">
      <c r="A37" s="21" t="s">
        <v>94</v>
      </c>
      <c r="B37" s="22" t="s">
        <v>79</v>
      </c>
      <c r="C37" s="4"/>
      <c r="D37" s="5"/>
      <c r="E37" s="5"/>
      <c r="F37" s="5"/>
      <c r="G37" s="5"/>
      <c r="H37" s="5"/>
      <c r="I37" s="5"/>
      <c r="J37" s="5"/>
      <c r="K37" s="103"/>
      <c r="L37" s="103">
        <f>2250/C6*I4</f>
        <v>1247.2313779627477</v>
      </c>
      <c r="M37" s="103">
        <f>(6088+7751+18827+2211)/C6*I4</f>
        <v>19333.195008536335</v>
      </c>
      <c r="N37" s="103"/>
      <c r="O37" s="51">
        <f t="shared" si="5"/>
        <v>20580.426386499083</v>
      </c>
      <c r="P37" s="499">
        <f t="shared" si="3"/>
        <v>-20580.426386499083</v>
      </c>
    </row>
    <row r="38" spans="1:17" ht="37.5" customHeight="1" x14ac:dyDescent="0.25">
      <c r="A38" s="21" t="s">
        <v>179</v>
      </c>
      <c r="B38" s="22" t="s">
        <v>180</v>
      </c>
      <c r="C38" s="4"/>
      <c r="D38" s="5"/>
      <c r="E38" s="5"/>
      <c r="F38" s="5"/>
      <c r="G38" s="5"/>
      <c r="H38" s="5"/>
      <c r="I38" s="5"/>
      <c r="J38" s="5"/>
      <c r="K38" s="103"/>
      <c r="L38" s="103"/>
      <c r="M38" s="103">
        <v>15011.12</v>
      </c>
      <c r="N38" s="103"/>
      <c r="O38" s="51">
        <f t="shared" si="5"/>
        <v>15011.12</v>
      </c>
      <c r="P38" s="499">
        <f t="shared" si="3"/>
        <v>-15011.12</v>
      </c>
    </row>
    <row r="39" spans="1:17" ht="37.5" customHeight="1" x14ac:dyDescent="0.25">
      <c r="A39" s="21" t="s">
        <v>95</v>
      </c>
      <c r="B39" s="22" t="s">
        <v>83</v>
      </c>
      <c r="C39" s="4"/>
      <c r="D39" s="5"/>
      <c r="E39" s="5"/>
      <c r="F39" s="5"/>
      <c r="G39" s="5"/>
      <c r="H39" s="5"/>
      <c r="I39" s="5"/>
      <c r="J39" s="5"/>
      <c r="K39" s="103"/>
      <c r="L39" s="103">
        <f>90894/C6*I4</f>
        <v>50384.821719353778</v>
      </c>
      <c r="M39" s="103"/>
      <c r="N39" s="103">
        <f>7700/C6*I4</f>
        <v>4268.3029379169593</v>
      </c>
      <c r="O39" s="51">
        <f t="shared" si="5"/>
        <v>54653.124657270739</v>
      </c>
      <c r="P39" s="499">
        <f t="shared" si="3"/>
        <v>-54653.124657270739</v>
      </c>
    </row>
    <row r="40" spans="1:17" ht="15" customHeight="1" x14ac:dyDescent="0.25">
      <c r="A40" s="21" t="s">
        <v>16</v>
      </c>
      <c r="B40" s="17" t="s">
        <v>4</v>
      </c>
      <c r="C40" s="2"/>
      <c r="D40" s="5"/>
      <c r="E40" s="5"/>
      <c r="F40" s="5"/>
      <c r="G40" s="5"/>
      <c r="H40" s="5"/>
      <c r="I40" s="57">
        <v>2.8849999999999998</v>
      </c>
      <c r="J40" s="5">
        <f>I40*9*24003</f>
        <v>623237.8949999999</v>
      </c>
      <c r="K40" s="51">
        <f>D40+F40+H40+J40</f>
        <v>623237.8949999999</v>
      </c>
      <c r="L40" s="103">
        <v>623411.13</v>
      </c>
      <c r="M40" s="103"/>
      <c r="N40" s="103"/>
      <c r="O40" s="51">
        <f t="shared" si="5"/>
        <v>623411.13</v>
      </c>
      <c r="P40" s="478">
        <f t="shared" si="3"/>
        <v>-173.23500000010245</v>
      </c>
    </row>
    <row r="41" spans="1:17" ht="15" customHeight="1" x14ac:dyDescent="0.25">
      <c r="A41" s="21" t="s">
        <v>17</v>
      </c>
      <c r="B41" s="17" t="s">
        <v>5</v>
      </c>
      <c r="C41" s="2"/>
      <c r="D41" s="5"/>
      <c r="E41" s="5"/>
      <c r="F41" s="5"/>
      <c r="G41" s="5"/>
      <c r="H41" s="5"/>
      <c r="I41" s="5">
        <v>0.48</v>
      </c>
      <c r="J41" s="5">
        <f>I41*9*I4</f>
        <v>103697.3232</v>
      </c>
      <c r="K41" s="51">
        <f>D41+F41+H41+J41</f>
        <v>103697.3232</v>
      </c>
      <c r="L41" s="103">
        <v>44458</v>
      </c>
      <c r="M41" s="103"/>
      <c r="N41" s="103"/>
      <c r="O41" s="51">
        <f t="shared" si="5"/>
        <v>44458</v>
      </c>
      <c r="P41" s="478">
        <f t="shared" si="3"/>
        <v>59239.323199999999</v>
      </c>
    </row>
    <row r="42" spans="1:17" ht="15" customHeight="1" x14ac:dyDescent="0.25">
      <c r="A42" s="21" t="s">
        <v>18</v>
      </c>
      <c r="B42" s="17" t="s">
        <v>6</v>
      </c>
      <c r="C42" s="2"/>
      <c r="D42" s="5"/>
      <c r="E42" s="5"/>
      <c r="F42" s="5"/>
      <c r="G42" s="5"/>
      <c r="H42" s="5"/>
      <c r="I42" s="5">
        <v>2.76</v>
      </c>
      <c r="J42" s="5">
        <f>I42*9*I4</f>
        <v>596259.60839999991</v>
      </c>
      <c r="K42" s="51">
        <f>D42+F42+H42+J42</f>
        <v>596259.60839999991</v>
      </c>
      <c r="L42" s="103">
        <v>401047</v>
      </c>
      <c r="M42" s="103"/>
      <c r="N42" s="103"/>
      <c r="O42" s="51">
        <f t="shared" si="5"/>
        <v>401047</v>
      </c>
      <c r="P42" s="478">
        <f t="shared" si="3"/>
        <v>195212.60839999991</v>
      </c>
      <c r="Q42" s="12" t="s">
        <v>78</v>
      </c>
    </row>
    <row r="43" spans="1:17" ht="15" customHeight="1" x14ac:dyDescent="0.25">
      <c r="A43" s="21" t="s">
        <v>57</v>
      </c>
      <c r="B43" s="17" t="s">
        <v>3</v>
      </c>
      <c r="C43" s="2"/>
      <c r="D43" s="5"/>
      <c r="E43" s="5"/>
      <c r="F43" s="5"/>
      <c r="G43" s="5"/>
      <c r="H43" s="5"/>
      <c r="I43" s="5">
        <v>2</v>
      </c>
      <c r="J43" s="5">
        <f>I43*9*I4</f>
        <v>432072.18</v>
      </c>
      <c r="K43" s="51">
        <f>D43+F43+H43+J43-F43</f>
        <v>432072.18</v>
      </c>
      <c r="L43" s="103">
        <f>SUM(L46:L60)</f>
        <v>0</v>
      </c>
      <c r="M43" s="103">
        <f>SUM(M46:M60)</f>
        <v>0</v>
      </c>
      <c r="N43" s="103">
        <f>SUM(N46:N60)</f>
        <v>0</v>
      </c>
      <c r="O43" s="51">
        <f t="shared" si="5"/>
        <v>0</v>
      </c>
      <c r="P43" s="478">
        <f>K43-O43</f>
        <v>432072.18</v>
      </c>
    </row>
    <row r="44" spans="1:17" ht="15" customHeight="1" x14ac:dyDescent="0.25">
      <c r="A44" s="21" t="s">
        <v>84</v>
      </c>
      <c r="B44" s="17" t="s">
        <v>669</v>
      </c>
      <c r="C44" s="2"/>
      <c r="D44" s="5"/>
      <c r="E44" s="5"/>
      <c r="F44" s="5"/>
      <c r="G44" s="5"/>
      <c r="H44" s="5"/>
      <c r="I44" s="5"/>
      <c r="J44" s="5"/>
      <c r="K44" s="51">
        <f>'Смета 2015 общ.'!E82</f>
        <v>53200</v>
      </c>
      <c r="L44" s="103">
        <v>0</v>
      </c>
      <c r="M44" s="103">
        <v>0</v>
      </c>
      <c r="N44" s="103">
        <v>0</v>
      </c>
      <c r="O44" s="51">
        <f t="shared" si="5"/>
        <v>0</v>
      </c>
      <c r="P44" s="478">
        <f>K44-O44</f>
        <v>53200</v>
      </c>
    </row>
    <row r="45" spans="1:17" ht="15" customHeight="1" x14ac:dyDescent="0.25">
      <c r="B45" s="17"/>
      <c r="C45" s="2"/>
      <c r="D45" s="5"/>
      <c r="E45" s="5"/>
      <c r="F45" s="5"/>
      <c r="G45" s="5"/>
      <c r="H45" s="5"/>
      <c r="I45" s="5"/>
      <c r="J45" s="5"/>
      <c r="K45" s="51"/>
      <c r="L45" s="103"/>
      <c r="M45" s="103"/>
      <c r="N45" s="103"/>
      <c r="O45" s="51"/>
      <c r="P45" s="478"/>
    </row>
    <row r="46" spans="1:17" ht="25.5" customHeight="1" x14ac:dyDescent="0.25">
      <c r="A46" s="21" t="s">
        <v>88</v>
      </c>
      <c r="B46" s="17" t="s">
        <v>85</v>
      </c>
      <c r="C46" s="2"/>
      <c r="D46" s="5"/>
      <c r="E46" s="5"/>
      <c r="F46" s="5"/>
      <c r="G46" s="5"/>
      <c r="H46" s="5"/>
      <c r="I46" s="5"/>
      <c r="J46" s="5"/>
      <c r="K46" s="103"/>
      <c r="L46" s="103"/>
      <c r="M46" s="103"/>
      <c r="N46" s="103"/>
      <c r="O46" s="51"/>
      <c r="P46" s="499"/>
    </row>
    <row r="47" spans="1:17" ht="17.25" customHeight="1" x14ac:dyDescent="0.25">
      <c r="A47" s="21" t="s">
        <v>673</v>
      </c>
      <c r="B47" s="22" t="s">
        <v>29</v>
      </c>
      <c r="C47" s="2"/>
      <c r="D47" s="5"/>
      <c r="E47" s="5"/>
      <c r="F47" s="5"/>
      <c r="G47" s="5"/>
      <c r="H47" s="5"/>
      <c r="I47" s="5"/>
      <c r="J47" s="5"/>
      <c r="K47" s="103"/>
      <c r="L47" s="103"/>
      <c r="M47" s="103"/>
      <c r="N47" s="103"/>
      <c r="O47" s="51"/>
      <c r="P47" s="499">
        <f>P25</f>
        <v>-16893.166702730261</v>
      </c>
    </row>
    <row r="48" spans="1:17" ht="27" customHeight="1" x14ac:dyDescent="0.25">
      <c r="A48" s="21" t="s">
        <v>86</v>
      </c>
      <c r="B48" s="22" t="s">
        <v>31</v>
      </c>
      <c r="C48" s="2"/>
      <c r="D48" s="5"/>
      <c r="E48" s="5"/>
      <c r="F48" s="5"/>
      <c r="G48" s="5"/>
      <c r="H48" s="5"/>
      <c r="I48" s="5"/>
      <c r="J48" s="5"/>
      <c r="K48" s="103"/>
      <c r="L48" s="103"/>
      <c r="M48" s="103"/>
      <c r="N48" s="502"/>
      <c r="O48" s="51"/>
      <c r="P48" s="499">
        <f>P27</f>
        <v>-28971.266395754763</v>
      </c>
    </row>
    <row r="49" spans="1:16" ht="27" customHeight="1" x14ac:dyDescent="0.25">
      <c r="B49" s="22" t="s">
        <v>33</v>
      </c>
      <c r="C49" s="2"/>
      <c r="D49" s="5"/>
      <c r="E49" s="5"/>
      <c r="F49" s="5"/>
      <c r="G49" s="5"/>
      <c r="H49" s="5"/>
      <c r="I49" s="5"/>
      <c r="J49" s="5"/>
      <c r="K49" s="103"/>
      <c r="L49" s="103"/>
      <c r="M49" s="103"/>
      <c r="N49" s="502"/>
      <c r="O49" s="51"/>
      <c r="P49" s="499">
        <f>P29</f>
        <v>-16395.047436293866</v>
      </c>
    </row>
    <row r="50" spans="1:16" ht="27" customHeight="1" x14ac:dyDescent="0.25">
      <c r="B50" s="22" t="s">
        <v>36</v>
      </c>
      <c r="C50" s="2"/>
      <c r="D50" s="5"/>
      <c r="E50" s="5"/>
      <c r="F50" s="5"/>
      <c r="G50" s="5"/>
      <c r="H50" s="5"/>
      <c r="I50" s="5"/>
      <c r="J50" s="5"/>
      <c r="K50" s="103"/>
      <c r="L50" s="103"/>
      <c r="M50" s="103"/>
      <c r="N50" s="502"/>
      <c r="O50" s="51"/>
      <c r="P50" s="499">
        <f>P30</f>
        <v>-3253.0787692575568</v>
      </c>
    </row>
    <row r="51" spans="1:16" ht="27" customHeight="1" x14ac:dyDescent="0.25">
      <c r="A51" s="21" t="s">
        <v>113</v>
      </c>
      <c r="B51" s="22" t="s">
        <v>82</v>
      </c>
      <c r="C51" s="2"/>
      <c r="D51" s="5"/>
      <c r="E51" s="5"/>
      <c r="F51" s="5"/>
      <c r="G51" s="5"/>
      <c r="H51" s="5"/>
      <c r="I51" s="5"/>
      <c r="J51" s="5"/>
      <c r="K51" s="103"/>
      <c r="L51" s="103"/>
      <c r="M51" s="103"/>
      <c r="N51" s="502"/>
      <c r="O51" s="51"/>
      <c r="P51" s="499">
        <f>P31</f>
        <v>-57842.711034514134</v>
      </c>
    </row>
    <row r="52" spans="1:16" ht="27" customHeight="1" x14ac:dyDescent="0.25">
      <c r="A52" s="21" t="s">
        <v>114</v>
      </c>
      <c r="B52" s="22" t="s">
        <v>83</v>
      </c>
      <c r="C52" s="2"/>
      <c r="D52" s="5"/>
      <c r="E52" s="5"/>
      <c r="F52" s="5"/>
      <c r="G52" s="5"/>
      <c r="H52" s="5"/>
      <c r="I52" s="5"/>
      <c r="J52" s="5"/>
      <c r="K52" s="103"/>
      <c r="L52" s="103"/>
      <c r="M52" s="103"/>
      <c r="N52" s="502"/>
      <c r="O52" s="51"/>
      <c r="P52" s="499">
        <f>P32</f>
        <v>-72062.257393403197</v>
      </c>
    </row>
    <row r="53" spans="1:16" ht="27" customHeight="1" x14ac:dyDescent="0.25">
      <c r="A53" s="590" t="s">
        <v>87</v>
      </c>
      <c r="B53" s="590"/>
      <c r="C53" s="2"/>
      <c r="D53" s="5"/>
      <c r="E53" s="5"/>
      <c r="F53" s="5"/>
      <c r="G53" s="5"/>
      <c r="H53" s="5"/>
      <c r="I53" s="5"/>
      <c r="J53" s="5"/>
      <c r="K53" s="103"/>
      <c r="L53" s="103"/>
      <c r="M53" s="103"/>
      <c r="N53" s="502"/>
      <c r="O53" s="51"/>
      <c r="P53" s="478">
        <f>SUM(P47:P52)</f>
        <v>-195417.52773195377</v>
      </c>
    </row>
    <row r="54" spans="1:16" ht="27" customHeight="1" x14ac:dyDescent="0.25">
      <c r="A54" s="21" t="s">
        <v>88</v>
      </c>
      <c r="B54" s="63" t="s">
        <v>89</v>
      </c>
      <c r="C54" s="2"/>
      <c r="D54" s="5"/>
      <c r="E54" s="5"/>
      <c r="F54" s="5"/>
      <c r="G54" s="5"/>
      <c r="H54" s="5"/>
      <c r="I54" s="5"/>
      <c r="J54" s="5"/>
      <c r="K54" s="103"/>
      <c r="L54" s="103"/>
      <c r="M54" s="103"/>
      <c r="N54" s="502"/>
      <c r="O54" s="51"/>
      <c r="P54" s="478"/>
    </row>
    <row r="55" spans="1:16" ht="27" customHeight="1" x14ac:dyDescent="0.25">
      <c r="A55" s="21" t="s">
        <v>673</v>
      </c>
      <c r="B55" s="352" t="s">
        <v>689</v>
      </c>
      <c r="C55" s="2"/>
      <c r="D55" s="5"/>
      <c r="E55" s="5"/>
      <c r="F55" s="5"/>
      <c r="G55" s="5"/>
      <c r="H55" s="5"/>
      <c r="I55" s="5"/>
      <c r="J55" s="5"/>
      <c r="K55" s="103"/>
      <c r="L55" s="103"/>
      <c r="M55" s="103"/>
      <c r="N55" s="502"/>
      <c r="O55" s="51"/>
      <c r="P55" s="478"/>
    </row>
    <row r="56" spans="1:16" ht="27" customHeight="1" x14ac:dyDescent="0.25">
      <c r="A56" s="21" t="s">
        <v>90</v>
      </c>
      <c r="B56" s="25" t="s">
        <v>0</v>
      </c>
      <c r="C56" s="2"/>
      <c r="D56" s="5"/>
      <c r="E56" s="5"/>
      <c r="F56" s="5"/>
      <c r="G56" s="5"/>
      <c r="H56" s="5"/>
      <c r="I56" s="5"/>
      <c r="J56" s="5"/>
      <c r="K56" s="103"/>
      <c r="L56" s="103"/>
      <c r="M56" s="103"/>
      <c r="N56" s="502"/>
      <c r="O56" s="51"/>
      <c r="P56" s="499">
        <f>P9</f>
        <v>24902.348880708516</v>
      </c>
    </row>
    <row r="57" spans="1:16" ht="27" customHeight="1" x14ac:dyDescent="0.25">
      <c r="A57" s="21" t="s">
        <v>685</v>
      </c>
      <c r="B57" s="22" t="s">
        <v>28</v>
      </c>
      <c r="C57" s="2"/>
      <c r="D57" s="5"/>
      <c r="E57" s="5"/>
      <c r="F57" s="5"/>
      <c r="G57" s="5"/>
      <c r="H57" s="5"/>
      <c r="I57" s="5"/>
      <c r="J57" s="5"/>
      <c r="K57" s="103"/>
      <c r="L57" s="103"/>
      <c r="M57" s="103"/>
      <c r="N57" s="502"/>
      <c r="O57" s="51"/>
      <c r="P57" s="499">
        <f>P24</f>
        <v>34244.123148372877</v>
      </c>
    </row>
    <row r="58" spans="1:16" ht="27" customHeight="1" x14ac:dyDescent="0.25">
      <c r="A58" s="21" t="s">
        <v>686</v>
      </c>
      <c r="B58" s="22" t="s">
        <v>30</v>
      </c>
      <c r="C58" s="2"/>
      <c r="D58" s="5"/>
      <c r="E58" s="5"/>
      <c r="F58" s="5"/>
      <c r="G58" s="5"/>
      <c r="H58" s="5"/>
      <c r="I58" s="5"/>
      <c r="J58" s="5"/>
      <c r="K58" s="103"/>
      <c r="L58" s="103"/>
      <c r="M58" s="103"/>
      <c r="N58" s="502"/>
      <c r="O58" s="51"/>
      <c r="P58" s="499">
        <f>P26</f>
        <v>11535.450375065266</v>
      </c>
    </row>
    <row r="59" spans="1:16" ht="27" customHeight="1" x14ac:dyDescent="0.25">
      <c r="A59" s="21" t="s">
        <v>687</v>
      </c>
      <c r="B59" s="22" t="s">
        <v>32</v>
      </c>
      <c r="C59" s="2"/>
      <c r="D59" s="5"/>
      <c r="E59" s="5"/>
      <c r="F59" s="5"/>
      <c r="G59" s="5"/>
      <c r="H59" s="5"/>
      <c r="I59" s="5"/>
      <c r="J59" s="5"/>
      <c r="K59" s="103"/>
      <c r="L59" s="103"/>
      <c r="M59" s="103"/>
      <c r="N59" s="502"/>
      <c r="O59" s="51"/>
      <c r="P59" s="499">
        <f>P28</f>
        <v>62065.98660364504</v>
      </c>
    </row>
    <row r="60" spans="1:16" ht="27" customHeight="1" x14ac:dyDescent="0.25">
      <c r="A60" s="21" t="s">
        <v>690</v>
      </c>
      <c r="B60" s="22" t="s">
        <v>6</v>
      </c>
      <c r="C60" s="2"/>
      <c r="D60" s="5"/>
      <c r="E60" s="5"/>
      <c r="F60" s="5"/>
      <c r="G60" s="5"/>
      <c r="H60" s="5"/>
      <c r="I60" s="5"/>
      <c r="J60" s="5"/>
      <c r="K60" s="103"/>
      <c r="L60" s="103"/>
      <c r="M60" s="103"/>
      <c r="N60" s="502"/>
      <c r="O60" s="51"/>
      <c r="P60" s="499">
        <f>P42</f>
        <v>195212.60839999991</v>
      </c>
    </row>
    <row r="61" spans="1:16" ht="27" customHeight="1" x14ac:dyDescent="0.25">
      <c r="A61" s="21" t="s">
        <v>691</v>
      </c>
      <c r="B61" s="22" t="s">
        <v>5</v>
      </c>
      <c r="C61" s="2"/>
      <c r="D61" s="5"/>
      <c r="E61" s="5"/>
      <c r="F61" s="5"/>
      <c r="G61" s="5"/>
      <c r="H61" s="5"/>
      <c r="I61" s="5"/>
      <c r="J61" s="5"/>
      <c r="K61" s="103"/>
      <c r="L61" s="103"/>
      <c r="M61" s="103"/>
      <c r="N61" s="502"/>
      <c r="O61" s="51"/>
      <c r="P61" s="499">
        <f>P41</f>
        <v>59239.323199999999</v>
      </c>
    </row>
    <row r="62" spans="1:16" ht="27" customHeight="1" x14ac:dyDescent="0.25">
      <c r="A62" s="591" t="s">
        <v>87</v>
      </c>
      <c r="B62" s="592"/>
      <c r="C62" s="2"/>
      <c r="D62" s="5"/>
      <c r="E62" s="5"/>
      <c r="F62" s="5"/>
      <c r="G62" s="5"/>
      <c r="H62" s="5"/>
      <c r="I62" s="5"/>
      <c r="J62" s="5"/>
      <c r="K62" s="103"/>
      <c r="L62" s="103"/>
      <c r="M62" s="103"/>
      <c r="N62" s="502"/>
      <c r="O62" s="51"/>
      <c r="P62" s="478">
        <f>SUM(P56:P61)</f>
        <v>387199.84060779162</v>
      </c>
    </row>
    <row r="63" spans="1:16" s="28" customFormat="1" ht="45" customHeight="1" x14ac:dyDescent="0.25">
      <c r="A63" s="26"/>
      <c r="B63" s="27" t="s">
        <v>61</v>
      </c>
      <c r="C63" s="18">
        <f>D63/C4/12</f>
        <v>0</v>
      </c>
      <c r="D63" s="18">
        <f>D9+D13+D22+D40+D41+D42+D43</f>
        <v>0</v>
      </c>
      <c r="E63" s="18">
        <f>F63/E4/12</f>
        <v>0</v>
      </c>
      <c r="F63" s="18">
        <f>F9+F13+F22+F40+F41+F42+F43</f>
        <v>0</v>
      </c>
      <c r="G63" s="18">
        <f>H63/G4/12</f>
        <v>0</v>
      </c>
      <c r="H63" s="18">
        <f>H9+H13+H22+H40+H41+H42+H43</f>
        <v>0</v>
      </c>
      <c r="I63" s="18">
        <f>J63/I4/9</f>
        <v>21.772746657745937</v>
      </c>
      <c r="J63" s="18">
        <f>J9+J13+J22+J40+J41+J42+J43</f>
        <v>4703699.0564999999</v>
      </c>
      <c r="K63" s="51">
        <f>K9+K13+K22+K40+K41+K42</f>
        <v>4271626.8765000002</v>
      </c>
      <c r="L63" s="51">
        <f>L9+L13+L22+L40+L41+L42</f>
        <v>3971853.9954829193</v>
      </c>
      <c r="M63" s="51">
        <f>M9+M13+M22+M40+M41+M42</f>
        <v>38589.653089421015</v>
      </c>
      <c r="N63" s="51">
        <f>N9+N13+N22+N40+N41+N42</f>
        <v>20169.681551820991</v>
      </c>
      <c r="O63" s="51">
        <f>O9+O13+O22+O40+O41+O42</f>
        <v>4030613.3301241612</v>
      </c>
      <c r="P63" s="478">
        <f t="shared" si="3"/>
        <v>241013.54637583904</v>
      </c>
    </row>
    <row r="64" spans="1:16" s="11" customFormat="1" ht="16.5" customHeight="1" x14ac:dyDescent="0.25">
      <c r="A64" s="357"/>
      <c r="B64" s="7"/>
      <c r="C64" s="40"/>
      <c r="D64" s="58"/>
      <c r="E64" s="40"/>
      <c r="F64" s="40"/>
      <c r="G64" s="40"/>
      <c r="H64" s="40"/>
      <c r="I64" s="40"/>
      <c r="J64" s="40"/>
      <c r="K64" s="40"/>
      <c r="L64" s="497"/>
      <c r="M64" s="497"/>
      <c r="N64" s="497"/>
      <c r="O64" s="497"/>
      <c r="P64" s="497"/>
    </row>
    <row r="65" spans="1:16" s="11" customFormat="1" ht="19.5" customHeight="1" x14ac:dyDescent="0.25">
      <c r="A65" s="357"/>
      <c r="B65" s="7"/>
      <c r="C65" s="40"/>
      <c r="D65" s="58"/>
      <c r="E65" s="40"/>
      <c r="F65" s="40"/>
      <c r="G65" s="40"/>
      <c r="H65" s="40"/>
      <c r="I65" s="40"/>
      <c r="J65" s="40"/>
      <c r="K65" s="40"/>
      <c r="L65" s="497"/>
      <c r="M65" s="497"/>
      <c r="N65" s="497"/>
      <c r="O65" s="497"/>
      <c r="P65" s="497"/>
    </row>
    <row r="66" spans="1:16" s="31" customFormat="1" ht="12" hidden="1" customHeight="1" x14ac:dyDescent="0.25">
      <c r="A66" s="356"/>
      <c r="B66" s="30" t="s">
        <v>64</v>
      </c>
      <c r="C66" s="59"/>
      <c r="D66" s="60" t="s">
        <v>62</v>
      </c>
      <c r="E66" s="61"/>
      <c r="F66" s="62">
        <f>D63+F63+H63</f>
        <v>0</v>
      </c>
      <c r="G66" s="41"/>
      <c r="H66" s="41"/>
      <c r="I66" s="59" t="s">
        <v>63</v>
      </c>
      <c r="J66" s="62">
        <f>J63</f>
        <v>4703699.0564999999</v>
      </c>
      <c r="K66" s="43">
        <f>F66+J66</f>
        <v>4703699.0564999999</v>
      </c>
      <c r="L66" s="43"/>
      <c r="M66" s="43"/>
      <c r="N66" s="43"/>
      <c r="O66" s="43"/>
      <c r="P66" s="43"/>
    </row>
    <row r="67" spans="1:16" s="31" customFormat="1" ht="12" customHeight="1" x14ac:dyDescent="0.25">
      <c r="A67" s="356"/>
      <c r="B67" s="30"/>
      <c r="C67" s="69"/>
      <c r="D67" s="70"/>
      <c r="E67" s="69"/>
      <c r="F67" s="71"/>
      <c r="G67" s="41"/>
      <c r="H67" s="41"/>
      <c r="I67" s="69"/>
      <c r="J67" s="71"/>
      <c r="K67" s="43"/>
      <c r="L67" s="43"/>
      <c r="M67" s="43"/>
      <c r="N67" s="43"/>
      <c r="O67" s="43"/>
      <c r="P67" s="43"/>
    </row>
    <row r="68" spans="1:16" s="11" customFormat="1" x14ac:dyDescent="0.25">
      <c r="A68" s="357"/>
      <c r="B68" s="7"/>
      <c r="C68" s="40"/>
      <c r="D68" s="58"/>
      <c r="E68" s="40"/>
      <c r="F68" s="40"/>
      <c r="G68" s="40"/>
      <c r="H68" s="40"/>
      <c r="I68" s="40"/>
      <c r="J68" s="40"/>
      <c r="K68" s="40"/>
      <c r="L68" s="497"/>
      <c r="M68" s="497"/>
      <c r="N68" s="497"/>
      <c r="O68" s="497"/>
      <c r="P68" s="497"/>
    </row>
    <row r="69" spans="1:16" s="11" customFormat="1" x14ac:dyDescent="0.25">
      <c r="A69" s="357"/>
      <c r="B69" s="7"/>
      <c r="C69" s="40"/>
      <c r="D69" s="58"/>
      <c r="E69" s="40"/>
      <c r="F69" s="40"/>
      <c r="G69" s="40"/>
      <c r="H69" s="40"/>
      <c r="I69" s="40"/>
      <c r="J69" s="40"/>
      <c r="K69" s="40"/>
      <c r="L69" s="497"/>
      <c r="M69" s="497"/>
      <c r="N69" s="497"/>
      <c r="O69" s="497"/>
      <c r="P69" s="497"/>
    </row>
    <row r="70" spans="1:16" s="11" customFormat="1" x14ac:dyDescent="0.25">
      <c r="A70" s="357"/>
      <c r="B70" s="7"/>
      <c r="C70" s="40"/>
      <c r="D70" s="58"/>
      <c r="E70" s="40"/>
      <c r="F70" s="40"/>
      <c r="G70" s="40"/>
      <c r="H70" s="40"/>
      <c r="I70" s="40"/>
      <c r="J70" s="40"/>
      <c r="K70" s="40"/>
      <c r="L70" s="497"/>
      <c r="M70" s="497"/>
      <c r="N70" s="497"/>
      <c r="O70" s="497"/>
      <c r="P70" s="497"/>
    </row>
    <row r="71" spans="1:16" s="11" customFormat="1" x14ac:dyDescent="0.25">
      <c r="A71" s="357"/>
      <c r="B71" s="7"/>
      <c r="C71" s="40"/>
      <c r="D71" s="58"/>
      <c r="E71" s="40"/>
      <c r="F71" s="40"/>
      <c r="G71" s="40"/>
      <c r="H71" s="40"/>
      <c r="I71" s="40"/>
      <c r="J71" s="40"/>
      <c r="K71" s="40"/>
      <c r="L71" s="497"/>
      <c r="M71" s="497"/>
      <c r="N71" s="497"/>
      <c r="O71" s="497"/>
      <c r="P71" s="497"/>
    </row>
    <row r="72" spans="1:16" s="11" customFormat="1" x14ac:dyDescent="0.25">
      <c r="A72" s="357"/>
      <c r="B72" s="7"/>
      <c r="C72" s="40"/>
      <c r="D72" s="58"/>
      <c r="E72" s="40"/>
      <c r="F72" s="40"/>
      <c r="G72" s="40"/>
      <c r="H72" s="40"/>
      <c r="I72" s="40"/>
      <c r="J72" s="40"/>
      <c r="K72" s="40"/>
      <c r="L72" s="497"/>
      <c r="M72" s="497"/>
      <c r="N72" s="497"/>
      <c r="O72" s="497"/>
      <c r="P72" s="497"/>
    </row>
    <row r="73" spans="1:16" s="11" customFormat="1" x14ac:dyDescent="0.25">
      <c r="A73" s="357"/>
      <c r="B73" s="7"/>
      <c r="C73" s="40"/>
      <c r="D73" s="58"/>
      <c r="E73" s="40"/>
      <c r="F73" s="40"/>
      <c r="G73" s="40"/>
      <c r="H73" s="40"/>
      <c r="I73" s="40"/>
      <c r="J73" s="40"/>
      <c r="K73" s="40"/>
      <c r="L73" s="497"/>
      <c r="M73" s="497"/>
      <c r="N73" s="497"/>
      <c r="O73" s="497"/>
      <c r="P73" s="497"/>
    </row>
    <row r="74" spans="1:16" s="32" customFormat="1" x14ac:dyDescent="0.25">
      <c r="A74" s="34"/>
      <c r="B74" s="35"/>
      <c r="C74" s="8"/>
      <c r="D74" s="9"/>
      <c r="E74" s="8"/>
      <c r="F74" s="8"/>
      <c r="G74" s="8"/>
      <c r="H74" s="8"/>
      <c r="I74" s="8"/>
      <c r="J74" s="8"/>
      <c r="K74" s="40"/>
      <c r="L74" s="497"/>
      <c r="M74" s="497"/>
      <c r="N74" s="497"/>
      <c r="O74" s="497"/>
      <c r="P74" s="503"/>
    </row>
    <row r="75" spans="1:16" s="32" customFormat="1" x14ac:dyDescent="0.25">
      <c r="A75" s="34"/>
      <c r="B75" s="35"/>
      <c r="C75" s="8"/>
      <c r="D75" s="9"/>
      <c r="E75" s="8"/>
      <c r="F75" s="8"/>
      <c r="G75" s="8"/>
      <c r="H75" s="8"/>
      <c r="I75" s="8"/>
      <c r="J75" s="8"/>
      <c r="K75" s="40"/>
      <c r="L75" s="497"/>
      <c r="M75" s="497"/>
      <c r="N75" s="497"/>
      <c r="O75" s="497"/>
      <c r="P75" s="503"/>
    </row>
    <row r="76" spans="1:16" s="32" customFormat="1" x14ac:dyDescent="0.25">
      <c r="A76" s="34"/>
      <c r="B76" s="35"/>
      <c r="C76" s="8"/>
      <c r="D76" s="9"/>
      <c r="E76" s="8"/>
      <c r="F76" s="8"/>
      <c r="G76" s="8"/>
      <c r="H76" s="8"/>
      <c r="I76" s="8"/>
      <c r="J76" s="8"/>
      <c r="K76" s="40"/>
      <c r="L76" s="497"/>
      <c r="M76" s="497"/>
      <c r="N76" s="497"/>
      <c r="O76" s="497"/>
      <c r="P76" s="503"/>
    </row>
    <row r="77" spans="1:16" s="32" customFormat="1" ht="6" customHeight="1" x14ac:dyDescent="0.25">
      <c r="A77" s="34"/>
      <c r="B77" s="35"/>
      <c r="C77" s="8"/>
      <c r="D77" s="9"/>
      <c r="E77" s="8"/>
      <c r="F77" s="8"/>
      <c r="G77" s="8"/>
      <c r="H77" s="8"/>
      <c r="I77" s="8"/>
      <c r="J77" s="8"/>
      <c r="K77" s="40"/>
      <c r="L77" s="497"/>
      <c r="M77" s="497"/>
      <c r="N77" s="497"/>
      <c r="O77" s="497"/>
      <c r="P77" s="503"/>
    </row>
    <row r="78" spans="1:16" s="32" customFormat="1" ht="12" hidden="1" customHeight="1" x14ac:dyDescent="0.25">
      <c r="A78" s="34"/>
      <c r="B78" s="35"/>
      <c r="C78" s="8"/>
      <c r="D78" s="9"/>
      <c r="E78" s="8"/>
      <c r="F78" s="8"/>
      <c r="G78" s="8"/>
      <c r="H78" s="8"/>
      <c r="I78" s="8"/>
      <c r="J78" s="8"/>
      <c r="K78" s="40"/>
      <c r="L78" s="497"/>
      <c r="M78" s="497"/>
      <c r="N78" s="497"/>
      <c r="O78" s="497"/>
      <c r="P78" s="503"/>
    </row>
    <row r="79" spans="1:16" s="32" customFormat="1" ht="11.25" customHeight="1" x14ac:dyDescent="0.25">
      <c r="A79" s="34"/>
      <c r="B79" s="35"/>
      <c r="C79" s="8"/>
      <c r="D79" s="9"/>
      <c r="E79" s="8"/>
      <c r="F79" s="8"/>
      <c r="G79" s="8"/>
      <c r="H79" s="8"/>
      <c r="I79" s="8"/>
      <c r="J79" s="8"/>
      <c r="K79" s="40"/>
      <c r="L79" s="497"/>
      <c r="M79" s="497"/>
      <c r="N79" s="497"/>
      <c r="O79" s="497"/>
      <c r="P79" s="503"/>
    </row>
    <row r="80" spans="1:16" s="11" customFormat="1" x14ac:dyDescent="0.25">
      <c r="A80" s="357"/>
      <c r="B80" s="7"/>
      <c r="C80" s="40"/>
      <c r="D80" s="58"/>
      <c r="E80" s="40"/>
      <c r="F80" s="40"/>
      <c r="G80" s="40"/>
      <c r="H80" s="40"/>
      <c r="I80" s="40"/>
      <c r="J80" s="40"/>
      <c r="K80" s="40"/>
      <c r="L80" s="497"/>
      <c r="M80" s="497"/>
      <c r="N80" s="497"/>
      <c r="O80" s="497"/>
      <c r="P80" s="497"/>
    </row>
    <row r="81" spans="1:16" s="11" customFormat="1" ht="409.5" customHeight="1" x14ac:dyDescent="0.25">
      <c r="A81" s="357"/>
      <c r="B81" s="7"/>
      <c r="C81" s="8"/>
      <c r="D81" s="9"/>
      <c r="E81" s="8"/>
      <c r="F81" s="8"/>
      <c r="G81" s="8"/>
      <c r="H81" s="8"/>
      <c r="I81" s="8"/>
      <c r="J81" s="8"/>
      <c r="K81" s="40"/>
      <c r="L81" s="497"/>
      <c r="M81" s="497"/>
      <c r="N81" s="497"/>
      <c r="O81" s="497"/>
      <c r="P81" s="497"/>
    </row>
  </sheetData>
  <mergeCells count="3">
    <mergeCell ref="A53:B53"/>
    <mergeCell ref="A62:B62"/>
    <mergeCell ref="A1:P1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80" zoomScaleNormal="80" workbookViewId="0">
      <selection activeCell="L33" sqref="L33"/>
    </sheetView>
  </sheetViews>
  <sheetFormatPr defaultRowHeight="15.75" x14ac:dyDescent="0.25"/>
  <cols>
    <col min="1" max="1" width="13.5703125" style="81" customWidth="1"/>
    <col min="2" max="2" width="17" style="80" customWidth="1"/>
    <col min="3" max="3" width="10.85546875" style="81" customWidth="1"/>
    <col min="4" max="4" width="9.140625" style="81"/>
    <col min="5" max="5" width="12.5703125" style="81" customWidth="1"/>
    <col min="6" max="6" width="32.140625" style="80" customWidth="1"/>
    <col min="7" max="8" width="10.28515625" style="88" customWidth="1"/>
    <col min="9" max="9" width="13.28515625" style="88" customWidth="1"/>
    <col min="10" max="10" width="17.7109375" style="80" customWidth="1"/>
    <col min="11" max="11" width="32.140625" style="80" customWidth="1"/>
    <col min="12" max="12" width="16.85546875" style="81" customWidth="1"/>
    <col min="13" max="13" width="16.7109375" customWidth="1"/>
    <col min="14" max="14" width="21.7109375" style="82" customWidth="1"/>
    <col min="15" max="16384" width="9.140625" style="80"/>
  </cols>
  <sheetData>
    <row r="1" spans="1:14" ht="31.5" x14ac:dyDescent="0.25">
      <c r="A1" s="90" t="s">
        <v>117</v>
      </c>
      <c r="B1" s="90" t="s">
        <v>118</v>
      </c>
      <c r="C1" s="90" t="s">
        <v>119</v>
      </c>
      <c r="D1" s="90" t="s">
        <v>120</v>
      </c>
      <c r="E1" s="90" t="s">
        <v>121</v>
      </c>
      <c r="F1" s="90" t="s">
        <v>126</v>
      </c>
      <c r="G1" s="90" t="s">
        <v>131</v>
      </c>
      <c r="H1" s="90" t="s">
        <v>119</v>
      </c>
      <c r="I1" s="90" t="s">
        <v>122</v>
      </c>
      <c r="J1" s="90" t="s">
        <v>133</v>
      </c>
      <c r="K1" s="90" t="s">
        <v>126</v>
      </c>
      <c r="L1" s="90" t="s">
        <v>123</v>
      </c>
      <c r="M1" s="90" t="s">
        <v>200</v>
      </c>
      <c r="N1" s="90" t="s">
        <v>143</v>
      </c>
    </row>
    <row r="2" spans="1:14" ht="63" x14ac:dyDescent="0.25">
      <c r="A2" s="462" t="s">
        <v>124</v>
      </c>
      <c r="B2" s="462" t="s">
        <v>125</v>
      </c>
      <c r="C2" s="462"/>
      <c r="D2" s="462"/>
      <c r="E2" s="463">
        <v>2069.2199999999998</v>
      </c>
      <c r="F2" s="464" t="s">
        <v>127</v>
      </c>
      <c r="G2" s="462"/>
      <c r="H2" s="462"/>
      <c r="I2" s="90"/>
      <c r="J2" s="91"/>
      <c r="K2" s="91"/>
      <c r="L2" s="92">
        <f>E2+I2</f>
        <v>2069.2199999999998</v>
      </c>
      <c r="M2" s="91" t="s">
        <v>34</v>
      </c>
      <c r="N2" s="90"/>
    </row>
    <row r="3" spans="1:14" ht="47.25" x14ac:dyDescent="0.25">
      <c r="A3" s="469">
        <v>42153</v>
      </c>
      <c r="B3" s="359" t="s">
        <v>125</v>
      </c>
      <c r="C3" s="470">
        <v>5076</v>
      </c>
      <c r="D3" s="471">
        <v>1</v>
      </c>
      <c r="E3" s="472">
        <f t="shared" ref="E3" si="0">C3*D3</f>
        <v>5076</v>
      </c>
      <c r="F3" s="473" t="s">
        <v>772</v>
      </c>
      <c r="G3" s="474"/>
      <c r="H3" s="91"/>
      <c r="I3" s="461"/>
      <c r="J3" s="91"/>
      <c r="K3" s="91"/>
      <c r="L3" s="101">
        <f>E3</f>
        <v>5076</v>
      </c>
      <c r="M3" s="91" t="s">
        <v>26</v>
      </c>
      <c r="N3" s="471" t="s">
        <v>734</v>
      </c>
    </row>
    <row r="4" spans="1:14" ht="31.5" x14ac:dyDescent="0.25">
      <c r="A4" s="465">
        <v>42194</v>
      </c>
      <c r="B4" s="466" t="s">
        <v>125</v>
      </c>
      <c r="C4" s="467">
        <v>1255</v>
      </c>
      <c r="D4" s="467">
        <v>3</v>
      </c>
      <c r="E4" s="467">
        <f t="shared" ref="E4" si="1">C4*D4</f>
        <v>3765</v>
      </c>
      <c r="F4" s="468" t="s">
        <v>219</v>
      </c>
      <c r="G4" s="466"/>
      <c r="H4" s="466"/>
      <c r="I4" s="90"/>
      <c r="J4" s="91"/>
      <c r="K4" s="91"/>
      <c r="L4" s="92">
        <f>E4</f>
        <v>3765</v>
      </c>
      <c r="M4" s="91" t="s">
        <v>43</v>
      </c>
      <c r="N4" s="90"/>
    </row>
    <row r="5" spans="1:14" ht="47.25" x14ac:dyDescent="0.25">
      <c r="A5" s="90" t="s">
        <v>150</v>
      </c>
      <c r="B5" s="90" t="s">
        <v>125</v>
      </c>
      <c r="C5" s="90"/>
      <c r="D5" s="90"/>
      <c r="E5" s="101">
        <f>'Уборка помещений 86'!E32</f>
        <v>8219.0499999999993</v>
      </c>
      <c r="F5" s="91" t="s">
        <v>168</v>
      </c>
      <c r="G5" s="90"/>
      <c r="H5" s="90"/>
      <c r="I5" s="90"/>
      <c r="J5" s="91"/>
      <c r="K5" s="91"/>
      <c r="L5" s="92">
        <f t="shared" ref="L5:L11" si="2">E5</f>
        <v>8219.0499999999993</v>
      </c>
      <c r="M5" s="91" t="s">
        <v>42</v>
      </c>
      <c r="N5" s="90"/>
    </row>
    <row r="6" spans="1:14" ht="47.25" x14ac:dyDescent="0.25">
      <c r="A6" s="90" t="s">
        <v>172</v>
      </c>
      <c r="B6" s="90" t="s">
        <v>125</v>
      </c>
      <c r="C6" s="90"/>
      <c r="D6" s="90"/>
      <c r="E6" s="90">
        <v>8537</v>
      </c>
      <c r="F6" s="91" t="s">
        <v>173</v>
      </c>
      <c r="G6" s="90"/>
      <c r="H6" s="90"/>
      <c r="I6" s="90"/>
      <c r="J6" s="90"/>
      <c r="K6" s="91"/>
      <c r="L6" s="94">
        <f t="shared" si="2"/>
        <v>8537</v>
      </c>
      <c r="M6" s="91" t="s">
        <v>24</v>
      </c>
      <c r="N6" s="90"/>
    </row>
    <row r="7" spans="1:14" ht="31.5" x14ac:dyDescent="0.25">
      <c r="A7" s="93">
        <v>42283</v>
      </c>
      <c r="B7" s="90" t="s">
        <v>125</v>
      </c>
      <c r="C7" s="90"/>
      <c r="D7" s="90"/>
      <c r="E7" s="90">
        <v>1180</v>
      </c>
      <c r="F7" s="91" t="s">
        <v>197</v>
      </c>
      <c r="G7" s="90"/>
      <c r="H7" s="90"/>
      <c r="I7" s="90"/>
      <c r="J7" s="90"/>
      <c r="K7" s="91"/>
      <c r="L7" s="94">
        <f t="shared" si="2"/>
        <v>1180</v>
      </c>
      <c r="M7" s="91" t="s">
        <v>25</v>
      </c>
      <c r="N7" s="90"/>
    </row>
    <row r="8" spans="1:14" ht="47.25" x14ac:dyDescent="0.25">
      <c r="A8" s="93">
        <v>42319</v>
      </c>
      <c r="B8" s="359" t="s">
        <v>125</v>
      </c>
      <c r="C8" s="359"/>
      <c r="D8" s="359"/>
      <c r="E8" s="359">
        <v>484.7</v>
      </c>
      <c r="F8" s="91" t="s">
        <v>781</v>
      </c>
      <c r="G8" s="359"/>
      <c r="H8" s="359"/>
      <c r="I8" s="359"/>
      <c r="J8" s="359"/>
      <c r="K8" s="91"/>
      <c r="L8" s="360">
        <f>E8</f>
        <v>484.7</v>
      </c>
      <c r="M8" s="91" t="s">
        <v>26</v>
      </c>
      <c r="N8" s="471" t="s">
        <v>734</v>
      </c>
    </row>
    <row r="9" spans="1:14" ht="31.5" x14ac:dyDescent="0.25">
      <c r="A9" s="93">
        <v>42348</v>
      </c>
      <c r="B9" s="90" t="s">
        <v>170</v>
      </c>
      <c r="C9" s="90">
        <v>1307</v>
      </c>
      <c r="D9" s="90">
        <v>3</v>
      </c>
      <c r="E9" s="90">
        <f>'Уборка помещений 86'!E34</f>
        <v>3921</v>
      </c>
      <c r="F9" s="91" t="s">
        <v>171</v>
      </c>
      <c r="G9" s="90"/>
      <c r="H9" s="90"/>
      <c r="I9" s="90"/>
      <c r="J9" s="91"/>
      <c r="K9" s="91"/>
      <c r="L9" s="92">
        <f t="shared" si="2"/>
        <v>3921</v>
      </c>
      <c r="M9" s="91" t="s">
        <v>42</v>
      </c>
      <c r="N9" s="90"/>
    </row>
    <row r="10" spans="1:14" ht="31.5" x14ac:dyDescent="0.25">
      <c r="A10" s="93">
        <v>42368</v>
      </c>
      <c r="B10" s="90" t="s">
        <v>174</v>
      </c>
      <c r="C10" s="90">
        <v>898</v>
      </c>
      <c r="D10" s="90">
        <v>3</v>
      </c>
      <c r="E10" s="361">
        <f>'Уборка помещений 86'!E33</f>
        <v>2694</v>
      </c>
      <c r="F10" s="91" t="s">
        <v>175</v>
      </c>
      <c r="G10" s="90"/>
      <c r="H10" s="90"/>
      <c r="I10" s="90"/>
      <c r="J10" s="91"/>
      <c r="K10" s="91"/>
      <c r="L10" s="92">
        <f t="shared" si="2"/>
        <v>2694</v>
      </c>
      <c r="M10" s="91" t="s">
        <v>42</v>
      </c>
      <c r="N10" s="90"/>
    </row>
    <row r="11" spans="1:14" ht="47.25" x14ac:dyDescent="0.25">
      <c r="A11" s="90" t="s">
        <v>150</v>
      </c>
      <c r="B11" s="90" t="s">
        <v>125</v>
      </c>
      <c r="C11" s="90"/>
      <c r="D11" s="90"/>
      <c r="E11" s="90">
        <f>1652</f>
        <v>1652</v>
      </c>
      <c r="F11" s="91" t="s">
        <v>169</v>
      </c>
      <c r="G11" s="90"/>
      <c r="H11" s="90"/>
      <c r="I11" s="90"/>
      <c r="J11" s="91"/>
      <c r="K11" s="91"/>
      <c r="L11" s="92">
        <f t="shared" si="2"/>
        <v>1652</v>
      </c>
      <c r="M11" s="91" t="s">
        <v>43</v>
      </c>
      <c r="N11" s="90"/>
    </row>
    <row r="12" spans="1:14" ht="63" x14ac:dyDescent="0.25">
      <c r="A12" s="93">
        <v>42047</v>
      </c>
      <c r="B12" s="90" t="s">
        <v>128</v>
      </c>
      <c r="C12" s="90">
        <v>780</v>
      </c>
      <c r="D12" s="90">
        <v>2</v>
      </c>
      <c r="E12" s="95">
        <f>C12*D12/43303.13*24004.01</f>
        <v>864.74708872083829</v>
      </c>
      <c r="F12" s="91" t="s">
        <v>129</v>
      </c>
      <c r="G12" s="90"/>
      <c r="H12" s="90"/>
      <c r="I12" s="90"/>
      <c r="J12" s="91"/>
      <c r="K12" s="91"/>
      <c r="L12" s="92">
        <f>E12+I12</f>
        <v>864.74708872083829</v>
      </c>
      <c r="M12" s="91" t="s">
        <v>35</v>
      </c>
      <c r="N12" s="90" t="s">
        <v>151</v>
      </c>
    </row>
    <row r="13" spans="1:14" ht="63" x14ac:dyDescent="0.25">
      <c r="A13" s="93">
        <v>42277</v>
      </c>
      <c r="B13" s="90" t="s">
        <v>154</v>
      </c>
      <c r="C13" s="90">
        <v>7000</v>
      </c>
      <c r="D13" s="90">
        <v>1</v>
      </c>
      <c r="E13" s="95">
        <f>C13*D13/43303*24004</f>
        <v>3880.2854305706301</v>
      </c>
      <c r="F13" s="96" t="s">
        <v>155</v>
      </c>
      <c r="G13" s="90"/>
      <c r="H13" s="94"/>
      <c r="I13" s="94"/>
      <c r="J13" s="90"/>
      <c r="K13" s="96"/>
      <c r="L13" s="92">
        <f>E13</f>
        <v>3880.2854305706301</v>
      </c>
      <c r="M13" s="91" t="s">
        <v>35</v>
      </c>
      <c r="N13" s="90" t="s">
        <v>151</v>
      </c>
    </row>
    <row r="14" spans="1:14" ht="31.5" x14ac:dyDescent="0.25">
      <c r="A14" s="97">
        <v>42309</v>
      </c>
      <c r="B14" s="91"/>
      <c r="C14" s="90"/>
      <c r="D14" s="90"/>
      <c r="E14" s="90"/>
      <c r="F14" s="639"/>
      <c r="G14" s="90">
        <v>20</v>
      </c>
      <c r="H14" s="90">
        <v>275</v>
      </c>
      <c r="I14" s="359">
        <f>G14*H14</f>
        <v>5500</v>
      </c>
      <c r="J14" s="91" t="s">
        <v>149</v>
      </c>
      <c r="K14" s="639" t="s">
        <v>130</v>
      </c>
      <c r="L14" s="359">
        <f>I14</f>
        <v>5500</v>
      </c>
      <c r="M14" s="91" t="s">
        <v>20</v>
      </c>
      <c r="N14" s="98"/>
    </row>
    <row r="15" spans="1:14" ht="34.5" customHeight="1" x14ac:dyDescent="0.25">
      <c r="A15" s="97">
        <v>42309</v>
      </c>
      <c r="B15" s="91"/>
      <c r="C15" s="90"/>
      <c r="D15" s="90"/>
      <c r="E15" s="90"/>
      <c r="F15" s="639"/>
      <c r="G15" s="90">
        <v>32</v>
      </c>
      <c r="H15" s="90">
        <v>280</v>
      </c>
      <c r="I15" s="359">
        <f>G15*H15</f>
        <v>8960</v>
      </c>
      <c r="J15" s="640" t="s">
        <v>136</v>
      </c>
      <c r="K15" s="639"/>
      <c r="L15" s="359">
        <f>I15</f>
        <v>8960</v>
      </c>
      <c r="M15" s="91" t="s">
        <v>20</v>
      </c>
      <c r="N15" s="90"/>
    </row>
    <row r="16" spans="1:14" ht="30" customHeight="1" x14ac:dyDescent="0.25">
      <c r="A16" s="97">
        <v>42339</v>
      </c>
      <c r="B16" s="91"/>
      <c r="C16" s="90"/>
      <c r="D16" s="90"/>
      <c r="E16" s="90"/>
      <c r="F16" s="639"/>
      <c r="G16" s="90">
        <f>80+110</f>
        <v>190</v>
      </c>
      <c r="H16" s="90">
        <v>280</v>
      </c>
      <c r="I16" s="359">
        <f>G16*H16</f>
        <v>53200</v>
      </c>
      <c r="J16" s="640"/>
      <c r="K16" s="639"/>
      <c r="L16" s="359">
        <f>I16</f>
        <v>53200</v>
      </c>
      <c r="M16" s="91" t="s">
        <v>20</v>
      </c>
      <c r="N16" s="90"/>
    </row>
    <row r="17" spans="1:14" ht="30" customHeight="1" x14ac:dyDescent="0.25">
      <c r="A17" s="97" t="s">
        <v>201</v>
      </c>
      <c r="B17" s="90" t="s">
        <v>125</v>
      </c>
      <c r="C17" s="90"/>
      <c r="D17" s="90"/>
      <c r="E17" s="90">
        <v>1850</v>
      </c>
      <c r="F17" s="358" t="s">
        <v>753</v>
      </c>
      <c r="G17" s="90"/>
      <c r="H17" s="90"/>
      <c r="I17" s="90"/>
      <c r="J17" s="90"/>
      <c r="K17" s="96"/>
      <c r="L17" s="92">
        <f>E17</f>
        <v>1850</v>
      </c>
      <c r="M17" s="91" t="s">
        <v>43</v>
      </c>
      <c r="N17" s="90"/>
    </row>
    <row r="18" spans="1:14" ht="30" customHeight="1" x14ac:dyDescent="0.25">
      <c r="A18" s="93">
        <v>42356</v>
      </c>
      <c r="B18" s="91"/>
      <c r="C18" s="90"/>
      <c r="D18" s="90"/>
      <c r="E18" s="90"/>
      <c r="F18" s="96"/>
      <c r="G18" s="90"/>
      <c r="H18" s="90"/>
      <c r="I18" s="90">
        <v>2500</v>
      </c>
      <c r="J18" s="90" t="s">
        <v>198</v>
      </c>
      <c r="K18" s="96" t="s">
        <v>199</v>
      </c>
      <c r="L18" s="92">
        <f>I18</f>
        <v>2500</v>
      </c>
      <c r="M18" s="91" t="s">
        <v>43</v>
      </c>
      <c r="N18" s="90"/>
    </row>
    <row r="19" spans="1:14" x14ac:dyDescent="0.25">
      <c r="A19" s="80"/>
      <c r="C19" s="80"/>
      <c r="D19" s="80"/>
      <c r="E19" s="80"/>
      <c r="L19" s="84"/>
      <c r="M19" s="80"/>
      <c r="N19" s="81"/>
    </row>
    <row r="20" spans="1:14" x14ac:dyDescent="0.25">
      <c r="J20" s="80" t="s">
        <v>147</v>
      </c>
      <c r="L20" s="84"/>
      <c r="M20" s="80"/>
      <c r="N20" s="81"/>
    </row>
    <row r="21" spans="1:14" x14ac:dyDescent="0.25">
      <c r="L21" s="84"/>
      <c r="M21" s="80"/>
      <c r="N21" s="81"/>
    </row>
    <row r="22" spans="1:14" x14ac:dyDescent="0.25">
      <c r="L22" s="84"/>
      <c r="M22" s="80"/>
      <c r="N22" s="81"/>
    </row>
    <row r="23" spans="1:14" x14ac:dyDescent="0.25">
      <c r="L23" s="84"/>
      <c r="M23" s="80"/>
      <c r="N23" s="81"/>
    </row>
    <row r="24" spans="1:14" x14ac:dyDescent="0.25">
      <c r="L24" s="84"/>
      <c r="M24" s="80"/>
      <c r="N24" s="81"/>
    </row>
    <row r="25" spans="1:14" x14ac:dyDescent="0.25">
      <c r="L25" s="84"/>
      <c r="M25" s="80"/>
      <c r="N25" s="81"/>
    </row>
    <row r="26" spans="1:14" x14ac:dyDescent="0.25">
      <c r="M26" s="80"/>
      <c r="N26" s="81"/>
    </row>
    <row r="27" spans="1:14" x14ac:dyDescent="0.25">
      <c r="M27" s="80"/>
      <c r="N27" s="81"/>
    </row>
    <row r="28" spans="1:14" x14ac:dyDescent="0.25">
      <c r="M28" s="80"/>
      <c r="N28" s="81"/>
    </row>
    <row r="29" spans="1:14" x14ac:dyDescent="0.25">
      <c r="M29" s="80"/>
      <c r="N29" s="81"/>
    </row>
    <row r="30" spans="1:14" x14ac:dyDescent="0.25">
      <c r="M30" s="80"/>
      <c r="N30" s="81"/>
    </row>
    <row r="31" spans="1:14" x14ac:dyDescent="0.25">
      <c r="M31" s="80"/>
      <c r="N31" s="81"/>
    </row>
    <row r="32" spans="1:14" x14ac:dyDescent="0.25">
      <c r="L32" s="81">
        <f>SUBTOTAL(9,L2:L31)</f>
        <v>114353.00251929148</v>
      </c>
    </row>
    <row r="33" spans="12:12" x14ac:dyDescent="0.25">
      <c r="L33" s="81">
        <f>SUBTOTAL(9,L3:L8)</f>
        <v>27261.75</v>
      </c>
    </row>
  </sheetData>
  <autoFilter ref="M1:M33"/>
  <mergeCells count="3">
    <mergeCell ref="J15:J16"/>
    <mergeCell ref="K14:K16"/>
    <mergeCell ref="F14:F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I10" sqref="I10"/>
    </sheetView>
  </sheetViews>
  <sheetFormatPr defaultRowHeight="12.75" x14ac:dyDescent="0.25"/>
  <cols>
    <col min="1" max="1" width="10.5703125" style="375" customWidth="1"/>
    <col min="2" max="2" width="9" style="376" customWidth="1"/>
    <col min="3" max="3" width="6.5703125" style="376" customWidth="1"/>
    <col min="4" max="4" width="11.85546875" style="376" customWidth="1"/>
    <col min="5" max="5" width="20.28515625" style="377" customWidth="1"/>
    <col min="6" max="6" width="12.28515625" style="374" customWidth="1"/>
    <col min="7" max="7" width="7.7109375" style="374" customWidth="1"/>
    <col min="8" max="16384" width="9.140625" style="364"/>
  </cols>
  <sheetData>
    <row r="1" spans="1:8" ht="28.5" customHeight="1" x14ac:dyDescent="0.25">
      <c r="A1" s="362" t="s">
        <v>117</v>
      </c>
      <c r="B1" s="362" t="s">
        <v>119</v>
      </c>
      <c r="C1" s="362" t="s">
        <v>120</v>
      </c>
      <c r="D1" s="362" t="s">
        <v>121</v>
      </c>
      <c r="E1" s="362" t="s">
        <v>225</v>
      </c>
      <c r="F1" s="363" t="s">
        <v>226</v>
      </c>
      <c r="G1" s="363" t="s">
        <v>143</v>
      </c>
    </row>
    <row r="2" spans="1:8" ht="33" customHeight="1" x14ac:dyDescent="0.25">
      <c r="A2" s="705">
        <v>42100</v>
      </c>
      <c r="B2" s="365">
        <v>219</v>
      </c>
      <c r="C2" s="366">
        <v>1</v>
      </c>
      <c r="D2" s="365">
        <f>B2*C2</f>
        <v>219</v>
      </c>
      <c r="E2" s="367" t="s">
        <v>692</v>
      </c>
      <c r="F2" s="706" t="s">
        <v>693</v>
      </c>
      <c r="G2" s="706">
        <v>86</v>
      </c>
    </row>
    <row r="3" spans="1:8" ht="51.75" customHeight="1" x14ac:dyDescent="0.25">
      <c r="A3" s="705"/>
      <c r="B3" s="365">
        <v>229</v>
      </c>
      <c r="C3" s="366">
        <v>1</v>
      </c>
      <c r="D3" s="365">
        <f>B3*C3</f>
        <v>229</v>
      </c>
      <c r="E3" s="367" t="s">
        <v>694</v>
      </c>
      <c r="F3" s="706"/>
      <c r="G3" s="706"/>
    </row>
    <row r="4" spans="1:8" ht="38.25" x14ac:dyDescent="0.25">
      <c r="A4" s="705"/>
      <c r="B4" s="365">
        <v>219</v>
      </c>
      <c r="C4" s="366">
        <v>1</v>
      </c>
      <c r="D4" s="365">
        <f t="shared" ref="D4:D11" si="0">B4*C4</f>
        <v>219</v>
      </c>
      <c r="E4" s="367" t="s">
        <v>695</v>
      </c>
      <c r="F4" s="706"/>
      <c r="G4" s="706"/>
    </row>
    <row r="5" spans="1:8" ht="27.75" customHeight="1" x14ac:dyDescent="0.25">
      <c r="A5" s="705"/>
      <c r="B5" s="365">
        <v>149</v>
      </c>
      <c r="C5" s="366">
        <v>1</v>
      </c>
      <c r="D5" s="365">
        <f t="shared" si="0"/>
        <v>149</v>
      </c>
      <c r="E5" s="367" t="s">
        <v>696</v>
      </c>
      <c r="F5" s="706"/>
      <c r="G5" s="706"/>
    </row>
    <row r="6" spans="1:8" ht="33.75" customHeight="1" x14ac:dyDescent="0.25">
      <c r="A6" s="705"/>
      <c r="B6" s="365">
        <v>99</v>
      </c>
      <c r="C6" s="366">
        <v>1</v>
      </c>
      <c r="D6" s="365">
        <f t="shared" si="0"/>
        <v>99</v>
      </c>
      <c r="E6" s="367" t="s">
        <v>697</v>
      </c>
      <c r="F6" s="706"/>
      <c r="G6" s="706"/>
    </row>
    <row r="7" spans="1:8" ht="32.25" customHeight="1" x14ac:dyDescent="0.25">
      <c r="A7" s="705"/>
      <c r="B7" s="365">
        <v>229</v>
      </c>
      <c r="C7" s="366">
        <v>1</v>
      </c>
      <c r="D7" s="365">
        <f t="shared" si="0"/>
        <v>229</v>
      </c>
      <c r="E7" s="367" t="s">
        <v>698</v>
      </c>
      <c r="F7" s="706"/>
      <c r="G7" s="706"/>
    </row>
    <row r="8" spans="1:8" ht="28.5" customHeight="1" x14ac:dyDescent="0.25">
      <c r="A8" s="705"/>
      <c r="B8" s="365">
        <v>239</v>
      </c>
      <c r="C8" s="366">
        <v>1</v>
      </c>
      <c r="D8" s="365">
        <f t="shared" si="0"/>
        <v>239</v>
      </c>
      <c r="E8" s="367" t="s">
        <v>699</v>
      </c>
      <c r="F8" s="706"/>
      <c r="G8" s="706"/>
    </row>
    <row r="9" spans="1:8" ht="28.5" customHeight="1" x14ac:dyDescent="0.25">
      <c r="A9" s="384">
        <v>42185</v>
      </c>
      <c r="B9" s="366">
        <v>214.5</v>
      </c>
      <c r="C9" s="366">
        <v>1</v>
      </c>
      <c r="D9" s="365">
        <f t="shared" si="0"/>
        <v>214.5</v>
      </c>
      <c r="E9" s="367" t="s">
        <v>700</v>
      </c>
      <c r="F9" s="373" t="s">
        <v>693</v>
      </c>
      <c r="G9" s="362">
        <v>86</v>
      </c>
    </row>
    <row r="10" spans="1:8" ht="30.75" customHeight="1" x14ac:dyDescent="0.25">
      <c r="A10" s="385">
        <v>42223</v>
      </c>
      <c r="B10" s="386">
        <v>424.5</v>
      </c>
      <c r="C10" s="387">
        <v>1</v>
      </c>
      <c r="D10" s="386">
        <f>B10*C10</f>
        <v>424.5</v>
      </c>
      <c r="E10" s="388" t="s">
        <v>701</v>
      </c>
      <c r="F10" s="389" t="s">
        <v>702</v>
      </c>
      <c r="G10" s="390">
        <v>86</v>
      </c>
      <c r="H10" s="368"/>
    </row>
    <row r="11" spans="1:8" ht="36" customHeight="1" x14ac:dyDescent="0.25">
      <c r="A11" s="384">
        <v>42255</v>
      </c>
      <c r="B11" s="366">
        <v>47.22</v>
      </c>
      <c r="C11" s="366">
        <v>1</v>
      </c>
      <c r="D11" s="365">
        <f t="shared" si="0"/>
        <v>47.22</v>
      </c>
      <c r="E11" s="367" t="s">
        <v>703</v>
      </c>
      <c r="F11" s="373" t="s">
        <v>693</v>
      </c>
      <c r="G11" s="362">
        <v>86</v>
      </c>
    </row>
    <row r="12" spans="1:8" x14ac:dyDescent="0.25">
      <c r="A12" s="362"/>
      <c r="B12" s="366"/>
      <c r="C12" s="366"/>
      <c r="D12" s="391">
        <f>SUM(D2:D11)</f>
        <v>2069.2199999999998</v>
      </c>
      <c r="E12" s="367"/>
      <c r="F12" s="373"/>
      <c r="G12" s="373"/>
    </row>
    <row r="13" spans="1:8" s="383" customFormat="1" x14ac:dyDescent="0.25">
      <c r="A13" s="378"/>
      <c r="B13" s="379"/>
      <c r="C13" s="379"/>
      <c r="D13" s="380"/>
      <c r="E13" s="381"/>
      <c r="F13" s="382"/>
      <c r="G13" s="382"/>
    </row>
    <row r="14" spans="1:8" s="383" customFormat="1" x14ac:dyDescent="0.25">
      <c r="A14" s="378"/>
      <c r="B14" s="379"/>
      <c r="C14" s="379"/>
      <c r="D14" s="380"/>
      <c r="E14" s="381"/>
      <c r="F14" s="382"/>
      <c r="G14" s="382"/>
    </row>
    <row r="15" spans="1:8" s="383" customFormat="1" x14ac:dyDescent="0.25">
      <c r="A15" s="378"/>
      <c r="B15" s="379"/>
      <c r="C15" s="379"/>
      <c r="D15" s="380"/>
      <c r="E15" s="381"/>
      <c r="F15" s="382"/>
      <c r="G15" s="382"/>
    </row>
    <row r="16" spans="1:8" s="383" customFormat="1" x14ac:dyDescent="0.25">
      <c r="A16" s="378"/>
      <c r="B16" s="379"/>
      <c r="C16" s="379"/>
      <c r="D16" s="380"/>
      <c r="E16" s="381"/>
      <c r="F16" s="382"/>
      <c r="G16" s="382"/>
    </row>
    <row r="17" spans="1:7" s="383" customFormat="1" x14ac:dyDescent="0.25">
      <c r="A17" s="378"/>
      <c r="B17" s="379"/>
      <c r="C17" s="379"/>
      <c r="D17" s="380"/>
      <c r="E17" s="381"/>
      <c r="F17" s="382"/>
      <c r="G17" s="382"/>
    </row>
    <row r="18" spans="1:7" s="383" customFormat="1" x14ac:dyDescent="0.25">
      <c r="A18" s="378"/>
      <c r="B18" s="379"/>
      <c r="C18" s="379"/>
      <c r="D18" s="380"/>
      <c r="E18" s="381"/>
      <c r="F18" s="382"/>
      <c r="G18" s="382"/>
    </row>
    <row r="19" spans="1:7" s="383" customFormat="1" x14ac:dyDescent="0.25">
      <c r="A19" s="378"/>
      <c r="B19" s="379"/>
      <c r="C19" s="379"/>
      <c r="D19" s="380"/>
      <c r="E19" s="381"/>
      <c r="F19" s="382"/>
      <c r="G19" s="382"/>
    </row>
    <row r="20" spans="1:7" s="383" customFormat="1" x14ac:dyDescent="0.25">
      <c r="A20" s="378"/>
      <c r="B20" s="379"/>
      <c r="C20" s="379"/>
      <c r="D20" s="380"/>
      <c r="E20" s="381"/>
      <c r="F20" s="382"/>
      <c r="G20" s="382"/>
    </row>
    <row r="21" spans="1:7" s="383" customFormat="1" x14ac:dyDescent="0.25">
      <c r="A21" s="378"/>
      <c r="B21" s="379"/>
      <c r="C21" s="379"/>
      <c r="D21" s="380"/>
      <c r="E21" s="381"/>
      <c r="F21" s="382"/>
      <c r="G21" s="382"/>
    </row>
    <row r="22" spans="1:7" s="383" customFormat="1" x14ac:dyDescent="0.25">
      <c r="A22" s="378"/>
      <c r="B22" s="379"/>
      <c r="C22" s="379"/>
      <c r="D22" s="380"/>
      <c r="E22" s="381"/>
      <c r="F22" s="382"/>
      <c r="G22" s="382"/>
    </row>
    <row r="23" spans="1:7" s="383" customFormat="1" x14ac:dyDescent="0.25">
      <c r="A23" s="378"/>
      <c r="B23" s="379"/>
      <c r="C23" s="379"/>
      <c r="D23" s="380"/>
      <c r="E23" s="381"/>
      <c r="F23" s="382"/>
      <c r="G23" s="382"/>
    </row>
    <row r="24" spans="1:7" s="383" customFormat="1" x14ac:dyDescent="0.25">
      <c r="A24" s="378"/>
      <c r="B24" s="379"/>
      <c r="C24" s="379"/>
      <c r="D24" s="379"/>
      <c r="E24" s="381"/>
      <c r="F24" s="382"/>
      <c r="G24" s="382"/>
    </row>
    <row r="25" spans="1:7" s="383" customFormat="1" x14ac:dyDescent="0.25">
      <c r="A25" s="378"/>
      <c r="B25" s="379"/>
      <c r="C25" s="379"/>
      <c r="D25" s="379"/>
      <c r="E25" s="381"/>
      <c r="F25" s="382"/>
      <c r="G25" s="382"/>
    </row>
    <row r="26" spans="1:7" s="383" customFormat="1" x14ac:dyDescent="0.25">
      <c r="A26" s="378"/>
      <c r="B26" s="379"/>
      <c r="C26" s="379"/>
      <c r="D26" s="379"/>
      <c r="E26" s="381"/>
      <c r="F26" s="382"/>
      <c r="G26" s="382"/>
    </row>
    <row r="27" spans="1:7" s="383" customFormat="1" x14ac:dyDescent="0.25">
      <c r="A27" s="378"/>
      <c r="B27" s="379"/>
      <c r="C27" s="379"/>
      <c r="D27" s="379"/>
      <c r="E27" s="381"/>
      <c r="F27" s="382"/>
      <c r="G27" s="382"/>
    </row>
    <row r="28" spans="1:7" s="383" customFormat="1" x14ac:dyDescent="0.25">
      <c r="A28" s="378"/>
      <c r="B28" s="379"/>
      <c r="C28" s="379"/>
      <c r="D28" s="379"/>
      <c r="E28" s="381"/>
      <c r="F28" s="382"/>
      <c r="G28" s="382"/>
    </row>
    <row r="29" spans="1:7" s="383" customFormat="1" x14ac:dyDescent="0.25">
      <c r="A29" s="378"/>
      <c r="B29" s="379"/>
      <c r="C29" s="379"/>
      <c r="D29" s="379"/>
      <c r="E29" s="381"/>
      <c r="F29" s="382"/>
      <c r="G29" s="382"/>
    </row>
    <row r="30" spans="1:7" s="383" customFormat="1" x14ac:dyDescent="0.25">
      <c r="A30" s="378"/>
      <c r="B30" s="379"/>
      <c r="C30" s="379"/>
      <c r="D30" s="379"/>
      <c r="E30" s="381"/>
      <c r="F30" s="382"/>
      <c r="G30" s="382"/>
    </row>
    <row r="31" spans="1:7" s="383" customFormat="1" x14ac:dyDescent="0.25">
      <c r="A31" s="378"/>
      <c r="B31" s="379"/>
      <c r="C31" s="379"/>
      <c r="D31" s="379"/>
      <c r="E31" s="381"/>
      <c r="F31" s="382"/>
      <c r="G31" s="382"/>
    </row>
    <row r="32" spans="1:7" s="383" customFormat="1" x14ac:dyDescent="0.25">
      <c r="A32" s="378"/>
      <c r="B32" s="379"/>
      <c r="C32" s="379"/>
      <c r="D32" s="379"/>
      <c r="E32" s="381"/>
      <c r="F32" s="382"/>
      <c r="G32" s="382"/>
    </row>
    <row r="33" spans="1:7" s="383" customFormat="1" ht="14.25" customHeight="1" x14ac:dyDescent="0.25">
      <c r="A33" s="378"/>
      <c r="B33" s="379"/>
      <c r="C33" s="379"/>
      <c r="D33" s="379"/>
      <c r="E33" s="381"/>
      <c r="F33" s="382"/>
      <c r="G33" s="382"/>
    </row>
    <row r="34" spans="1:7" s="383" customFormat="1" x14ac:dyDescent="0.25">
      <c r="A34" s="378"/>
      <c r="B34" s="379"/>
      <c r="C34" s="379"/>
      <c r="D34" s="379"/>
      <c r="E34" s="381"/>
      <c r="F34" s="382"/>
      <c r="G34" s="382"/>
    </row>
    <row r="35" spans="1:7" s="383" customFormat="1" x14ac:dyDescent="0.25">
      <c r="A35" s="378"/>
      <c r="B35" s="379"/>
      <c r="C35" s="379"/>
      <c r="D35" s="379"/>
      <c r="E35" s="381"/>
      <c r="F35" s="382"/>
      <c r="G35" s="382"/>
    </row>
    <row r="36" spans="1:7" s="383" customFormat="1" x14ac:dyDescent="0.25">
      <c r="A36" s="378"/>
      <c r="B36" s="379"/>
      <c r="C36" s="379"/>
      <c r="D36" s="379"/>
      <c r="E36" s="381"/>
      <c r="F36" s="382"/>
      <c r="G36" s="382"/>
    </row>
    <row r="37" spans="1:7" s="383" customFormat="1" x14ac:dyDescent="0.25">
      <c r="A37" s="378"/>
      <c r="B37" s="379"/>
      <c r="C37" s="379"/>
      <c r="D37" s="379"/>
      <c r="E37" s="381"/>
      <c r="F37" s="382"/>
      <c r="G37" s="382"/>
    </row>
    <row r="38" spans="1:7" s="383" customFormat="1" x14ac:dyDescent="0.25">
      <c r="A38" s="378"/>
      <c r="B38" s="379"/>
      <c r="C38" s="379"/>
      <c r="D38" s="379"/>
      <c r="E38" s="381"/>
      <c r="F38" s="382"/>
      <c r="G38" s="382"/>
    </row>
    <row r="39" spans="1:7" s="383" customFormat="1" x14ac:dyDescent="0.25">
      <c r="A39" s="378"/>
      <c r="B39" s="379"/>
      <c r="C39" s="379"/>
      <c r="D39" s="379"/>
      <c r="E39" s="381"/>
      <c r="F39" s="382"/>
      <c r="G39" s="382"/>
    </row>
    <row r="40" spans="1:7" s="383" customFormat="1" x14ac:dyDescent="0.25">
      <c r="A40" s="378"/>
      <c r="B40" s="379"/>
      <c r="C40" s="379"/>
      <c r="D40" s="379"/>
      <c r="E40" s="381"/>
      <c r="F40" s="382"/>
      <c r="G40" s="382"/>
    </row>
    <row r="41" spans="1:7" s="383" customFormat="1" x14ac:dyDescent="0.25">
      <c r="A41" s="378"/>
      <c r="B41" s="379"/>
      <c r="C41" s="379"/>
      <c r="D41" s="379"/>
      <c r="E41" s="381"/>
      <c r="F41" s="382"/>
      <c r="G41" s="382"/>
    </row>
    <row r="42" spans="1:7" s="383" customFormat="1" x14ac:dyDescent="0.25">
      <c r="A42" s="378"/>
      <c r="B42" s="379"/>
      <c r="C42" s="379"/>
      <c r="D42" s="379"/>
      <c r="E42" s="381"/>
      <c r="F42" s="382"/>
      <c r="G42" s="382"/>
    </row>
    <row r="43" spans="1:7" s="383" customFormat="1" x14ac:dyDescent="0.25">
      <c r="A43" s="378"/>
      <c r="B43" s="379"/>
      <c r="C43" s="379"/>
      <c r="D43" s="379"/>
      <c r="E43" s="381"/>
      <c r="F43" s="382"/>
      <c r="G43" s="382"/>
    </row>
    <row r="44" spans="1:7" s="383" customFormat="1" x14ac:dyDescent="0.25">
      <c r="A44" s="378"/>
      <c r="B44" s="379"/>
      <c r="C44" s="379"/>
      <c r="D44" s="379"/>
      <c r="E44" s="381"/>
      <c r="F44" s="382"/>
      <c r="G44" s="382"/>
    </row>
    <row r="45" spans="1:7" s="383" customFormat="1" x14ac:dyDescent="0.25">
      <c r="A45" s="378"/>
      <c r="B45" s="379"/>
      <c r="C45" s="379"/>
      <c r="D45" s="379"/>
      <c r="E45" s="381"/>
      <c r="F45" s="382"/>
      <c r="G45" s="382"/>
    </row>
    <row r="46" spans="1:7" s="383" customFormat="1" x14ac:dyDescent="0.25">
      <c r="A46" s="378"/>
      <c r="B46" s="379"/>
      <c r="C46" s="379"/>
      <c r="D46" s="379"/>
      <c r="E46" s="381"/>
      <c r="F46" s="382"/>
      <c r="G46" s="382"/>
    </row>
    <row r="47" spans="1:7" s="383" customFormat="1" x14ac:dyDescent="0.25">
      <c r="A47" s="378"/>
      <c r="B47" s="379"/>
      <c r="C47" s="379"/>
      <c r="D47" s="379"/>
      <c r="E47" s="381"/>
      <c r="F47" s="382"/>
      <c r="G47" s="382"/>
    </row>
    <row r="48" spans="1:7" s="383" customFormat="1" x14ac:dyDescent="0.25">
      <c r="A48" s="378"/>
      <c r="B48" s="379"/>
      <c r="C48" s="379"/>
      <c r="D48" s="379"/>
      <c r="E48" s="381"/>
      <c r="F48" s="382"/>
      <c r="G48" s="382"/>
    </row>
    <row r="49" spans="1:7" s="383" customFormat="1" x14ac:dyDescent="0.25">
      <c r="A49" s="378"/>
      <c r="B49" s="379"/>
      <c r="C49" s="379"/>
      <c r="D49" s="379"/>
      <c r="E49" s="381"/>
      <c r="F49" s="382"/>
      <c r="G49" s="382"/>
    </row>
    <row r="50" spans="1:7" s="383" customFormat="1" x14ac:dyDescent="0.25">
      <c r="A50" s="378"/>
      <c r="B50" s="379"/>
      <c r="C50" s="379"/>
      <c r="D50" s="379"/>
      <c r="E50" s="381"/>
      <c r="F50" s="382"/>
      <c r="G50" s="382"/>
    </row>
    <row r="51" spans="1:7" s="383" customFormat="1" x14ac:dyDescent="0.25">
      <c r="A51" s="378"/>
      <c r="B51" s="379"/>
      <c r="C51" s="379"/>
      <c r="D51" s="379"/>
      <c r="E51" s="381"/>
      <c r="F51" s="382"/>
      <c r="G51" s="382"/>
    </row>
    <row r="52" spans="1:7" s="383" customFormat="1" x14ac:dyDescent="0.25">
      <c r="A52" s="378"/>
      <c r="B52" s="379"/>
      <c r="C52" s="379"/>
      <c r="D52" s="379"/>
      <c r="E52" s="381"/>
      <c r="F52" s="382"/>
      <c r="G52" s="382"/>
    </row>
    <row r="53" spans="1:7" s="383" customFormat="1" x14ac:dyDescent="0.25">
      <c r="A53" s="378"/>
      <c r="B53" s="379"/>
      <c r="C53" s="379"/>
      <c r="D53" s="379"/>
      <c r="E53" s="381"/>
      <c r="F53" s="382"/>
      <c r="G53" s="382"/>
    </row>
    <row r="54" spans="1:7" s="383" customFormat="1" x14ac:dyDescent="0.25">
      <c r="A54" s="378"/>
      <c r="B54" s="379"/>
      <c r="C54" s="379"/>
      <c r="D54" s="379"/>
      <c r="E54" s="381"/>
      <c r="F54" s="382"/>
      <c r="G54" s="382"/>
    </row>
    <row r="55" spans="1:7" s="383" customFormat="1" ht="15" customHeight="1" x14ac:dyDescent="0.25">
      <c r="A55" s="378"/>
      <c r="B55" s="379"/>
      <c r="C55" s="379"/>
      <c r="D55" s="379"/>
      <c r="E55" s="381"/>
      <c r="F55" s="382"/>
      <c r="G55" s="382"/>
    </row>
    <row r="56" spans="1:7" s="383" customFormat="1" x14ac:dyDescent="0.25">
      <c r="A56" s="378"/>
      <c r="B56" s="379"/>
      <c r="C56" s="379"/>
      <c r="D56" s="379"/>
      <c r="E56" s="381"/>
      <c r="F56" s="382"/>
      <c r="G56" s="382"/>
    </row>
    <row r="57" spans="1:7" s="383" customFormat="1" x14ac:dyDescent="0.25">
      <c r="A57" s="378"/>
      <c r="B57" s="379"/>
      <c r="C57" s="379"/>
      <c r="D57" s="379"/>
      <c r="E57" s="381"/>
      <c r="F57" s="382"/>
      <c r="G57" s="382"/>
    </row>
    <row r="58" spans="1:7" s="383" customFormat="1" x14ac:dyDescent="0.25">
      <c r="A58" s="378"/>
      <c r="B58" s="379"/>
      <c r="C58" s="379"/>
      <c r="D58" s="379"/>
      <c r="E58" s="381"/>
      <c r="F58" s="382"/>
      <c r="G58" s="382"/>
    </row>
    <row r="59" spans="1:7" s="383" customFormat="1" x14ac:dyDescent="0.25">
      <c r="A59" s="378"/>
      <c r="B59" s="379"/>
      <c r="C59" s="379"/>
      <c r="D59" s="379"/>
      <c r="E59" s="381"/>
      <c r="F59" s="382"/>
      <c r="G59" s="382"/>
    </row>
    <row r="60" spans="1:7" s="383" customFormat="1" x14ac:dyDescent="0.25">
      <c r="A60" s="378"/>
      <c r="B60" s="379"/>
      <c r="C60" s="379"/>
      <c r="D60" s="379"/>
      <c r="E60" s="381"/>
      <c r="F60" s="382"/>
      <c r="G60" s="382"/>
    </row>
    <row r="61" spans="1:7" s="383" customFormat="1" x14ac:dyDescent="0.25">
      <c r="A61" s="378"/>
      <c r="B61" s="379"/>
      <c r="C61" s="379"/>
      <c r="D61" s="379"/>
      <c r="E61" s="381"/>
      <c r="F61" s="382"/>
      <c r="G61" s="382"/>
    </row>
    <row r="62" spans="1:7" s="383" customFormat="1" x14ac:dyDescent="0.25">
      <c r="A62" s="378"/>
      <c r="B62" s="379"/>
      <c r="C62" s="379"/>
      <c r="D62" s="379"/>
      <c r="E62" s="381"/>
      <c r="F62" s="382"/>
      <c r="G62" s="382"/>
    </row>
    <row r="63" spans="1:7" s="383" customFormat="1" x14ac:dyDescent="0.25">
      <c r="A63" s="378"/>
      <c r="B63" s="379"/>
      <c r="C63" s="379"/>
      <c r="D63" s="379"/>
      <c r="E63" s="381"/>
      <c r="F63" s="382"/>
      <c r="G63" s="382"/>
    </row>
    <row r="64" spans="1:7" s="383" customFormat="1" x14ac:dyDescent="0.25">
      <c r="A64" s="378"/>
      <c r="B64" s="379"/>
      <c r="C64" s="379"/>
      <c r="D64" s="379"/>
      <c r="E64" s="381"/>
      <c r="F64" s="382"/>
      <c r="G64" s="378"/>
    </row>
    <row r="65" spans="1:7" s="383" customFormat="1" x14ac:dyDescent="0.25">
      <c r="A65" s="378"/>
      <c r="B65" s="379"/>
      <c r="C65" s="379"/>
      <c r="D65" s="379"/>
      <c r="E65" s="381"/>
      <c r="F65" s="382"/>
      <c r="G65" s="378"/>
    </row>
    <row r="66" spans="1:7" s="383" customFormat="1" x14ac:dyDescent="0.25">
      <c r="A66" s="378"/>
      <c r="B66" s="379"/>
      <c r="C66" s="379"/>
      <c r="D66" s="379"/>
      <c r="E66" s="381"/>
      <c r="F66" s="382"/>
      <c r="G66" s="378"/>
    </row>
    <row r="67" spans="1:7" s="383" customFormat="1" x14ac:dyDescent="0.25">
      <c r="A67" s="378"/>
      <c r="B67" s="379"/>
      <c r="C67" s="379"/>
      <c r="D67" s="379"/>
      <c r="E67" s="381"/>
      <c r="F67" s="382"/>
      <c r="G67" s="378"/>
    </row>
    <row r="68" spans="1:7" s="383" customFormat="1" x14ac:dyDescent="0.25">
      <c r="A68" s="378"/>
      <c r="B68" s="379"/>
      <c r="C68" s="379"/>
      <c r="D68" s="379"/>
      <c r="E68" s="381"/>
      <c r="F68" s="382"/>
      <c r="G68" s="378"/>
    </row>
    <row r="69" spans="1:7" s="383" customFormat="1" x14ac:dyDescent="0.25">
      <c r="A69" s="378"/>
      <c r="B69" s="379"/>
      <c r="C69" s="379"/>
      <c r="D69" s="379"/>
      <c r="E69" s="381"/>
      <c r="F69" s="382"/>
      <c r="G69" s="382"/>
    </row>
    <row r="70" spans="1:7" s="383" customFormat="1" x14ac:dyDescent="0.25">
      <c r="A70" s="378"/>
      <c r="B70" s="379"/>
      <c r="C70" s="379"/>
      <c r="D70" s="379"/>
      <c r="E70" s="381"/>
      <c r="F70" s="382"/>
      <c r="G70" s="382"/>
    </row>
    <row r="71" spans="1:7" s="383" customFormat="1" x14ac:dyDescent="0.25">
      <c r="A71" s="378"/>
      <c r="B71" s="379"/>
      <c r="C71" s="379"/>
      <c r="D71" s="379"/>
      <c r="E71" s="381"/>
      <c r="F71" s="382"/>
      <c r="G71" s="378"/>
    </row>
    <row r="72" spans="1:7" s="383" customFormat="1" x14ac:dyDescent="0.25">
      <c r="A72" s="378"/>
      <c r="B72" s="379"/>
      <c r="C72" s="379"/>
      <c r="D72" s="379"/>
      <c r="E72" s="381"/>
      <c r="F72" s="382"/>
      <c r="G72" s="382"/>
    </row>
    <row r="73" spans="1:7" s="383" customFormat="1" x14ac:dyDescent="0.25">
      <c r="A73" s="378"/>
      <c r="B73" s="379"/>
      <c r="C73" s="379"/>
      <c r="D73" s="379"/>
      <c r="E73" s="381"/>
      <c r="F73" s="382"/>
      <c r="G73" s="382"/>
    </row>
    <row r="74" spans="1:7" s="383" customFormat="1" x14ac:dyDescent="0.25">
      <c r="A74" s="378"/>
      <c r="B74" s="379"/>
      <c r="C74" s="379"/>
      <c r="D74" s="379"/>
      <c r="E74" s="381"/>
      <c r="F74" s="382"/>
      <c r="G74" s="382"/>
    </row>
    <row r="75" spans="1:7" s="383" customFormat="1" x14ac:dyDescent="0.25">
      <c r="A75" s="378"/>
      <c r="B75" s="379"/>
      <c r="C75" s="379"/>
      <c r="D75" s="379"/>
      <c r="E75" s="381"/>
      <c r="F75" s="382"/>
      <c r="G75" s="382"/>
    </row>
    <row r="76" spans="1:7" s="383" customFormat="1" x14ac:dyDescent="0.25">
      <c r="A76" s="378"/>
      <c r="B76" s="379"/>
      <c r="C76" s="379"/>
      <c r="D76" s="379"/>
      <c r="E76" s="381"/>
      <c r="F76" s="382"/>
      <c r="G76" s="382"/>
    </row>
    <row r="77" spans="1:7" s="383" customFormat="1" x14ac:dyDescent="0.25">
      <c r="A77" s="378"/>
      <c r="B77" s="379"/>
      <c r="C77" s="379"/>
      <c r="D77" s="379"/>
      <c r="E77" s="381"/>
      <c r="F77" s="382"/>
      <c r="G77" s="382"/>
    </row>
  </sheetData>
  <mergeCells count="3">
    <mergeCell ref="A2:A8"/>
    <mergeCell ref="F2:F8"/>
    <mergeCell ref="G2:G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B13" workbookViewId="0">
      <selection activeCell="B33" sqref="B33:F34"/>
    </sheetView>
  </sheetViews>
  <sheetFormatPr defaultRowHeight="12.75" x14ac:dyDescent="0.25"/>
  <cols>
    <col min="1" max="1" width="18.5703125" style="396" hidden="1" customWidth="1"/>
    <col min="2" max="2" width="10" style="375" customWidth="1"/>
    <col min="3" max="3" width="8.42578125" style="376" customWidth="1"/>
    <col min="4" max="4" width="6.42578125" style="376" customWidth="1"/>
    <col min="5" max="5" width="9.42578125" style="376" customWidth="1"/>
    <col min="6" max="6" width="30.42578125" style="377" customWidth="1"/>
    <col min="7" max="7" width="14.7109375" style="374" customWidth="1"/>
    <col min="8" max="8" width="7.42578125" style="374" customWidth="1"/>
    <col min="9" max="16384" width="9.140625" style="364"/>
  </cols>
  <sheetData>
    <row r="1" spans="1:8" ht="31.5" customHeight="1" x14ac:dyDescent="0.25">
      <c r="A1" s="393" t="s">
        <v>704</v>
      </c>
      <c r="B1" s="362" t="s">
        <v>117</v>
      </c>
      <c r="C1" s="362" t="s">
        <v>119</v>
      </c>
      <c r="D1" s="362" t="s">
        <v>120</v>
      </c>
      <c r="E1" s="362" t="s">
        <v>121</v>
      </c>
      <c r="F1" s="362" t="s">
        <v>225</v>
      </c>
      <c r="G1" s="363" t="s">
        <v>226</v>
      </c>
      <c r="H1" s="363" t="s">
        <v>143</v>
      </c>
    </row>
    <row r="2" spans="1:8" x14ac:dyDescent="0.25">
      <c r="A2" s="394"/>
      <c r="B2" s="705">
        <v>42080</v>
      </c>
      <c r="C2" s="365">
        <v>54</v>
      </c>
      <c r="D2" s="366">
        <v>15</v>
      </c>
      <c r="E2" s="365">
        <f>C2*D2</f>
        <v>810</v>
      </c>
      <c r="F2" s="367" t="s">
        <v>705</v>
      </c>
      <c r="G2" s="706" t="s">
        <v>706</v>
      </c>
      <c r="H2" s="706">
        <v>86</v>
      </c>
    </row>
    <row r="3" spans="1:8" x14ac:dyDescent="0.25">
      <c r="A3" s="394"/>
      <c r="B3" s="705"/>
      <c r="C3" s="365">
        <v>53</v>
      </c>
      <c r="D3" s="366">
        <v>5</v>
      </c>
      <c r="E3" s="365">
        <f t="shared" ref="E3:E9" si="0">C3*D3</f>
        <v>265</v>
      </c>
      <c r="F3" s="367" t="s">
        <v>707</v>
      </c>
      <c r="G3" s="706"/>
      <c r="H3" s="706"/>
    </row>
    <row r="4" spans="1:8" x14ac:dyDescent="0.25">
      <c r="A4" s="394"/>
      <c r="B4" s="705"/>
      <c r="C4" s="365">
        <v>51</v>
      </c>
      <c r="D4" s="366">
        <v>6</v>
      </c>
      <c r="E4" s="365">
        <f t="shared" si="0"/>
        <v>306</v>
      </c>
      <c r="F4" s="367" t="s">
        <v>708</v>
      </c>
      <c r="G4" s="706"/>
      <c r="H4" s="706"/>
    </row>
    <row r="5" spans="1:8" x14ac:dyDescent="0.25">
      <c r="A5" s="394"/>
      <c r="B5" s="705"/>
      <c r="C5" s="365">
        <v>139</v>
      </c>
      <c r="D5" s="366">
        <v>2</v>
      </c>
      <c r="E5" s="365">
        <f t="shared" si="0"/>
        <v>278</v>
      </c>
      <c r="F5" s="367" t="s">
        <v>709</v>
      </c>
      <c r="G5" s="706"/>
      <c r="H5" s="706"/>
    </row>
    <row r="6" spans="1:8" x14ac:dyDescent="0.25">
      <c r="A6" s="394"/>
      <c r="B6" s="705"/>
      <c r="C6" s="365">
        <v>19</v>
      </c>
      <c r="D6" s="366">
        <v>3</v>
      </c>
      <c r="E6" s="365">
        <f t="shared" si="0"/>
        <v>57</v>
      </c>
      <c r="F6" s="367" t="s">
        <v>710</v>
      </c>
      <c r="G6" s="706"/>
      <c r="H6" s="706"/>
    </row>
    <row r="7" spans="1:8" x14ac:dyDescent="0.25">
      <c r="A7" s="394"/>
      <c r="B7" s="705"/>
      <c r="C7" s="365">
        <v>89</v>
      </c>
      <c r="D7" s="366">
        <v>3</v>
      </c>
      <c r="E7" s="365">
        <f t="shared" si="0"/>
        <v>267</v>
      </c>
      <c r="F7" s="367" t="s">
        <v>711</v>
      </c>
      <c r="G7" s="706"/>
      <c r="H7" s="706"/>
    </row>
    <row r="8" spans="1:8" x14ac:dyDescent="0.25">
      <c r="A8" s="394"/>
      <c r="B8" s="705"/>
      <c r="C8" s="365">
        <v>99</v>
      </c>
      <c r="D8" s="366">
        <v>3</v>
      </c>
      <c r="E8" s="365">
        <f t="shared" si="0"/>
        <v>297</v>
      </c>
      <c r="F8" s="367" t="s">
        <v>712</v>
      </c>
      <c r="G8" s="706"/>
      <c r="H8" s="706"/>
    </row>
    <row r="9" spans="1:8" ht="15" customHeight="1" x14ac:dyDescent="0.25">
      <c r="A9" s="394"/>
      <c r="B9" s="705"/>
      <c r="C9" s="365">
        <v>129</v>
      </c>
      <c r="D9" s="366">
        <v>1</v>
      </c>
      <c r="E9" s="365">
        <f t="shared" si="0"/>
        <v>129</v>
      </c>
      <c r="F9" s="367" t="s">
        <v>709</v>
      </c>
      <c r="G9" s="706"/>
      <c r="H9" s="706"/>
    </row>
    <row r="10" spans="1:8" x14ac:dyDescent="0.25">
      <c r="A10" s="394"/>
      <c r="B10" s="707">
        <v>42084</v>
      </c>
      <c r="C10" s="365">
        <v>95</v>
      </c>
      <c r="D10" s="366">
        <v>2</v>
      </c>
      <c r="E10" s="365">
        <v>190</v>
      </c>
      <c r="F10" s="367" t="s">
        <v>713</v>
      </c>
      <c r="G10" s="706" t="s">
        <v>706</v>
      </c>
      <c r="H10" s="706">
        <v>86</v>
      </c>
    </row>
    <row r="11" spans="1:8" x14ac:dyDescent="0.25">
      <c r="A11" s="394"/>
      <c r="B11" s="707"/>
      <c r="C11" s="365">
        <v>235</v>
      </c>
      <c r="D11" s="366">
        <v>1</v>
      </c>
      <c r="E11" s="365">
        <v>235</v>
      </c>
      <c r="F11" s="367" t="s">
        <v>714</v>
      </c>
      <c r="G11" s="706"/>
      <c r="H11" s="706"/>
    </row>
    <row r="12" spans="1:8" x14ac:dyDescent="0.25">
      <c r="A12" s="394"/>
      <c r="B12" s="707"/>
      <c r="C12" s="365">
        <v>100</v>
      </c>
      <c r="D12" s="366">
        <v>2</v>
      </c>
      <c r="E12" s="365">
        <v>200</v>
      </c>
      <c r="F12" s="367" t="s">
        <v>709</v>
      </c>
      <c r="G12" s="706"/>
      <c r="H12" s="706"/>
    </row>
    <row r="13" spans="1:8" x14ac:dyDescent="0.25">
      <c r="A13" s="394"/>
      <c r="B13" s="385">
        <v>42097</v>
      </c>
      <c r="C13" s="365">
        <v>30</v>
      </c>
      <c r="D13" s="366">
        <v>3</v>
      </c>
      <c r="E13" s="365">
        <v>90</v>
      </c>
      <c r="F13" s="367" t="s">
        <v>715</v>
      </c>
      <c r="G13" s="362" t="s">
        <v>706</v>
      </c>
      <c r="H13" s="362">
        <v>86</v>
      </c>
    </row>
    <row r="14" spans="1:8" ht="25.5" x14ac:dyDescent="0.25">
      <c r="A14" s="394"/>
      <c r="B14" s="705">
        <v>42100</v>
      </c>
      <c r="C14" s="365">
        <v>89</v>
      </c>
      <c r="D14" s="366">
        <v>1</v>
      </c>
      <c r="E14" s="365">
        <f>C14*D14</f>
        <v>89</v>
      </c>
      <c r="F14" s="367" t="s">
        <v>716</v>
      </c>
      <c r="G14" s="706" t="s">
        <v>706</v>
      </c>
      <c r="H14" s="706">
        <v>86</v>
      </c>
    </row>
    <row r="15" spans="1:8" x14ac:dyDescent="0.25">
      <c r="A15" s="394"/>
      <c r="B15" s="705"/>
      <c r="C15" s="365">
        <v>149</v>
      </c>
      <c r="D15" s="366">
        <v>1</v>
      </c>
      <c r="E15" s="365">
        <f>C15*D15</f>
        <v>149</v>
      </c>
      <c r="F15" s="367" t="s">
        <v>717</v>
      </c>
      <c r="G15" s="706"/>
      <c r="H15" s="706"/>
    </row>
    <row r="16" spans="1:8" x14ac:dyDescent="0.25">
      <c r="A16" s="394"/>
      <c r="B16" s="385">
        <v>42153</v>
      </c>
      <c r="C16" s="365">
        <v>55</v>
      </c>
      <c r="D16" s="366">
        <v>3</v>
      </c>
      <c r="E16" s="365">
        <f t="shared" ref="E16:E31" si="1">C16*D16</f>
        <v>165</v>
      </c>
      <c r="F16" s="367" t="s">
        <v>718</v>
      </c>
      <c r="G16" s="362" t="s">
        <v>706</v>
      </c>
      <c r="H16" s="362">
        <v>86</v>
      </c>
    </row>
    <row r="17" spans="1:8" x14ac:dyDescent="0.25">
      <c r="A17" s="394"/>
      <c r="B17" s="705">
        <v>42153</v>
      </c>
      <c r="C17" s="365">
        <v>55.9</v>
      </c>
      <c r="D17" s="366">
        <v>3</v>
      </c>
      <c r="E17" s="365">
        <f t="shared" si="1"/>
        <v>167.7</v>
      </c>
      <c r="F17" s="367" t="s">
        <v>719</v>
      </c>
      <c r="G17" s="706" t="s">
        <v>706</v>
      </c>
      <c r="H17" s="706">
        <v>86</v>
      </c>
    </row>
    <row r="18" spans="1:8" ht="25.5" x14ac:dyDescent="0.25">
      <c r="A18" s="394"/>
      <c r="B18" s="705"/>
      <c r="C18" s="365">
        <v>109</v>
      </c>
      <c r="D18" s="366">
        <v>4</v>
      </c>
      <c r="E18" s="365">
        <f t="shared" si="1"/>
        <v>436</v>
      </c>
      <c r="F18" s="367" t="s">
        <v>720</v>
      </c>
      <c r="G18" s="706"/>
      <c r="H18" s="706"/>
    </row>
    <row r="19" spans="1:8" x14ac:dyDescent="0.25">
      <c r="A19" s="394"/>
      <c r="B19" s="705"/>
      <c r="C19" s="365">
        <v>169</v>
      </c>
      <c r="D19" s="366">
        <v>2</v>
      </c>
      <c r="E19" s="365">
        <f t="shared" si="1"/>
        <v>338</v>
      </c>
      <c r="F19" s="367" t="s">
        <v>721</v>
      </c>
      <c r="G19" s="706"/>
      <c r="H19" s="706"/>
    </row>
    <row r="20" spans="1:8" x14ac:dyDescent="0.25">
      <c r="A20" s="394"/>
      <c r="B20" s="705"/>
      <c r="C20" s="365">
        <v>24</v>
      </c>
      <c r="D20" s="366">
        <v>1</v>
      </c>
      <c r="E20" s="365">
        <f t="shared" si="1"/>
        <v>24</v>
      </c>
      <c r="F20" s="367" t="s">
        <v>722</v>
      </c>
      <c r="G20" s="706"/>
      <c r="H20" s="706"/>
    </row>
    <row r="21" spans="1:8" x14ac:dyDescent="0.25">
      <c r="A21" s="394"/>
      <c r="B21" s="385">
        <v>42157</v>
      </c>
      <c r="C21" s="365">
        <v>80</v>
      </c>
      <c r="D21" s="366">
        <v>11.5</v>
      </c>
      <c r="E21" s="365">
        <f t="shared" si="1"/>
        <v>920</v>
      </c>
      <c r="F21" s="367" t="s">
        <v>723</v>
      </c>
      <c r="G21" s="362" t="s">
        <v>706</v>
      </c>
      <c r="H21" s="362">
        <v>86</v>
      </c>
    </row>
    <row r="22" spans="1:8" x14ac:dyDescent="0.25">
      <c r="A22" s="394"/>
      <c r="B22" s="705">
        <v>42157</v>
      </c>
      <c r="C22" s="365">
        <v>119</v>
      </c>
      <c r="D22" s="366">
        <v>4</v>
      </c>
      <c r="E22" s="365">
        <f t="shared" si="1"/>
        <v>476</v>
      </c>
      <c r="F22" s="367" t="s">
        <v>724</v>
      </c>
      <c r="G22" s="706" t="s">
        <v>706</v>
      </c>
      <c r="H22" s="706">
        <v>86</v>
      </c>
    </row>
    <row r="23" spans="1:8" x14ac:dyDescent="0.25">
      <c r="A23" s="394"/>
      <c r="B23" s="705"/>
      <c r="C23" s="365">
        <v>81</v>
      </c>
      <c r="D23" s="366">
        <v>2</v>
      </c>
      <c r="E23" s="365">
        <f t="shared" si="1"/>
        <v>162</v>
      </c>
      <c r="F23" s="367" t="s">
        <v>725</v>
      </c>
      <c r="G23" s="706"/>
      <c r="H23" s="706"/>
    </row>
    <row r="24" spans="1:8" x14ac:dyDescent="0.25">
      <c r="A24" s="394"/>
      <c r="B24" s="705"/>
      <c r="C24" s="365">
        <v>199</v>
      </c>
      <c r="D24" s="366">
        <v>1</v>
      </c>
      <c r="E24" s="365">
        <f t="shared" si="1"/>
        <v>199</v>
      </c>
      <c r="F24" s="367" t="s">
        <v>726</v>
      </c>
      <c r="G24" s="706"/>
      <c r="H24" s="706"/>
    </row>
    <row r="25" spans="1:8" x14ac:dyDescent="0.25">
      <c r="A25" s="394"/>
      <c r="B25" s="705">
        <v>42185</v>
      </c>
      <c r="C25" s="365">
        <v>311.5</v>
      </c>
      <c r="D25" s="366">
        <v>1</v>
      </c>
      <c r="E25" s="365">
        <f t="shared" si="1"/>
        <v>311.5</v>
      </c>
      <c r="F25" s="367" t="s">
        <v>727</v>
      </c>
      <c r="G25" s="706" t="s">
        <v>728</v>
      </c>
      <c r="H25" s="706">
        <v>86</v>
      </c>
    </row>
    <row r="26" spans="1:8" x14ac:dyDescent="0.25">
      <c r="A26" s="394"/>
      <c r="B26" s="705"/>
      <c r="C26" s="365">
        <v>94.9</v>
      </c>
      <c r="D26" s="366">
        <v>2</v>
      </c>
      <c r="E26" s="365">
        <f t="shared" si="1"/>
        <v>189.8</v>
      </c>
      <c r="F26" s="367" t="s">
        <v>729</v>
      </c>
      <c r="G26" s="706"/>
      <c r="H26" s="706"/>
    </row>
    <row r="27" spans="1:8" ht="25.5" x14ac:dyDescent="0.25">
      <c r="A27" s="394"/>
      <c r="B27" s="705">
        <v>42255</v>
      </c>
      <c r="C27" s="365">
        <v>27.45</v>
      </c>
      <c r="D27" s="366">
        <v>3</v>
      </c>
      <c r="E27" s="365">
        <f t="shared" si="1"/>
        <v>82.35</v>
      </c>
      <c r="F27" s="367" t="s">
        <v>730</v>
      </c>
      <c r="G27" s="362" t="s">
        <v>731</v>
      </c>
      <c r="H27" s="362">
        <v>86</v>
      </c>
    </row>
    <row r="28" spans="1:8" ht="25.5" x14ac:dyDescent="0.25">
      <c r="A28" s="394"/>
      <c r="B28" s="705"/>
      <c r="C28" s="365">
        <v>32.32</v>
      </c>
      <c r="D28" s="366">
        <v>3</v>
      </c>
      <c r="E28" s="365">
        <f t="shared" si="1"/>
        <v>96.960000000000008</v>
      </c>
      <c r="F28" s="367" t="s">
        <v>718</v>
      </c>
      <c r="G28" s="362" t="s">
        <v>731</v>
      </c>
      <c r="H28" s="362">
        <v>86</v>
      </c>
    </row>
    <row r="29" spans="1:8" ht="25.5" x14ac:dyDescent="0.25">
      <c r="A29" s="394"/>
      <c r="B29" s="705"/>
      <c r="C29" s="365">
        <v>81.75</v>
      </c>
      <c r="D29" s="366">
        <v>10</v>
      </c>
      <c r="E29" s="365">
        <f t="shared" si="1"/>
        <v>817.5</v>
      </c>
      <c r="F29" s="367" t="s">
        <v>732</v>
      </c>
      <c r="G29" s="362" t="s">
        <v>731</v>
      </c>
      <c r="H29" s="362">
        <v>86</v>
      </c>
    </row>
    <row r="30" spans="1:8" ht="25.5" x14ac:dyDescent="0.25">
      <c r="A30" s="394"/>
      <c r="B30" s="705"/>
      <c r="C30" s="366">
        <v>22.19</v>
      </c>
      <c r="D30" s="366">
        <v>3</v>
      </c>
      <c r="E30" s="365">
        <f t="shared" si="1"/>
        <v>66.570000000000007</v>
      </c>
      <c r="F30" s="367" t="s">
        <v>265</v>
      </c>
      <c r="G30" s="362" t="s">
        <v>731</v>
      </c>
      <c r="H30" s="362">
        <v>86</v>
      </c>
    </row>
    <row r="31" spans="1:8" ht="25.5" x14ac:dyDescent="0.25">
      <c r="A31" s="394"/>
      <c r="B31" s="705"/>
      <c r="C31" s="366">
        <v>134.88999999999999</v>
      </c>
      <c r="D31" s="366">
        <v>3</v>
      </c>
      <c r="E31" s="365">
        <f t="shared" si="1"/>
        <v>404.66999999999996</v>
      </c>
      <c r="F31" s="367" t="s">
        <v>267</v>
      </c>
      <c r="G31" s="362" t="s">
        <v>731</v>
      </c>
      <c r="H31" s="362">
        <v>86</v>
      </c>
    </row>
    <row r="32" spans="1:8" x14ac:dyDescent="0.25">
      <c r="A32" s="397"/>
      <c r="B32" s="362"/>
      <c r="C32" s="366"/>
      <c r="D32" s="366"/>
      <c r="E32" s="391">
        <f>SUM(E2:E31)</f>
        <v>8219.0499999999993</v>
      </c>
      <c r="F32" s="367"/>
      <c r="G32" s="362"/>
      <c r="H32" s="362"/>
    </row>
    <row r="33" spans="1:8" s="383" customFormat="1" ht="51" x14ac:dyDescent="0.25">
      <c r="A33" s="399"/>
      <c r="B33" s="402">
        <v>42368</v>
      </c>
      <c r="C33" s="367">
        <v>898</v>
      </c>
      <c r="D33" s="367">
        <v>3</v>
      </c>
      <c r="E33" s="367">
        <f t="shared" ref="E33" si="2">C33*D33</f>
        <v>2694</v>
      </c>
      <c r="F33" s="367" t="s">
        <v>735</v>
      </c>
      <c r="G33" s="367" t="s">
        <v>735</v>
      </c>
      <c r="H33" s="367" t="s">
        <v>736</v>
      </c>
    </row>
    <row r="34" spans="1:8" s="383" customFormat="1" ht="76.5" x14ac:dyDescent="0.25">
      <c r="A34" s="399"/>
      <c r="B34" s="402">
        <v>42348</v>
      </c>
      <c r="C34" s="367">
        <v>1307</v>
      </c>
      <c r="D34" s="367">
        <v>3</v>
      </c>
      <c r="E34" s="367">
        <f t="shared" ref="E34" si="3">C34*D34</f>
        <v>3921</v>
      </c>
      <c r="F34" s="367" t="s">
        <v>737</v>
      </c>
      <c r="G34" s="367" t="s">
        <v>738</v>
      </c>
      <c r="H34" s="367" t="s">
        <v>739</v>
      </c>
    </row>
    <row r="35" spans="1:8" s="383" customFormat="1" x14ac:dyDescent="0.25">
      <c r="A35" s="399"/>
      <c r="B35" s="400"/>
      <c r="C35" s="380"/>
      <c r="D35" s="379"/>
      <c r="E35" s="380"/>
      <c r="F35" s="381"/>
      <c r="G35" s="382"/>
      <c r="H35" s="382"/>
    </row>
    <row r="36" spans="1:8" s="383" customFormat="1" x14ac:dyDescent="0.25">
      <c r="A36" s="399"/>
      <c r="B36" s="378"/>
      <c r="C36" s="380"/>
      <c r="D36" s="379"/>
      <c r="E36" s="380"/>
      <c r="F36" s="381"/>
      <c r="G36" s="382"/>
      <c r="H36" s="382"/>
    </row>
    <row r="37" spans="1:8" s="383" customFormat="1" x14ac:dyDescent="0.25">
      <c r="A37" s="399"/>
      <c r="B37" s="378"/>
      <c r="C37" s="380"/>
      <c r="D37" s="379"/>
      <c r="E37" s="380"/>
      <c r="F37" s="381"/>
      <c r="G37" s="382"/>
      <c r="H37" s="382"/>
    </row>
    <row r="38" spans="1:8" s="383" customFormat="1" x14ac:dyDescent="0.25">
      <c r="A38" s="399"/>
      <c r="B38" s="378"/>
      <c r="C38" s="380"/>
      <c r="D38" s="379"/>
      <c r="E38" s="380"/>
      <c r="F38" s="381"/>
      <c r="G38" s="382"/>
      <c r="H38" s="382"/>
    </row>
    <row r="39" spans="1:8" s="383" customFormat="1" x14ac:dyDescent="0.25">
      <c r="A39" s="399"/>
      <c r="B39" s="378"/>
      <c r="C39" s="380"/>
      <c r="D39" s="379"/>
      <c r="E39" s="380"/>
      <c r="F39" s="381"/>
      <c r="G39" s="382"/>
      <c r="H39" s="382"/>
    </row>
    <row r="40" spans="1:8" s="383" customFormat="1" x14ac:dyDescent="0.25">
      <c r="A40" s="399"/>
      <c r="B40" s="378"/>
      <c r="C40" s="379"/>
      <c r="D40" s="379"/>
      <c r="E40" s="380"/>
      <c r="F40" s="381"/>
      <c r="G40" s="382"/>
      <c r="H40" s="382"/>
    </row>
    <row r="41" spans="1:8" s="383" customFormat="1" x14ac:dyDescent="0.25">
      <c r="A41" s="399"/>
      <c r="B41" s="378"/>
      <c r="C41" s="379"/>
      <c r="D41" s="379"/>
      <c r="E41" s="380"/>
      <c r="F41" s="381"/>
      <c r="G41" s="382"/>
      <c r="H41" s="382"/>
    </row>
    <row r="42" spans="1:8" s="383" customFormat="1" x14ac:dyDescent="0.25">
      <c r="A42" s="399"/>
      <c r="B42" s="378"/>
      <c r="C42" s="379"/>
      <c r="D42" s="379"/>
      <c r="E42" s="380"/>
      <c r="F42" s="381"/>
      <c r="G42" s="382"/>
      <c r="H42" s="382"/>
    </row>
    <row r="43" spans="1:8" s="383" customFormat="1" x14ac:dyDescent="0.25">
      <c r="A43" s="399"/>
      <c r="B43" s="378"/>
      <c r="C43" s="379"/>
      <c r="D43" s="379"/>
      <c r="E43" s="380"/>
      <c r="F43" s="381"/>
      <c r="G43" s="382"/>
      <c r="H43" s="382"/>
    </row>
    <row r="44" spans="1:8" s="383" customFormat="1" x14ac:dyDescent="0.25">
      <c r="A44" s="399"/>
      <c r="B44" s="378"/>
      <c r="C44" s="379"/>
      <c r="D44" s="379"/>
      <c r="E44" s="380"/>
      <c r="F44" s="381"/>
      <c r="G44" s="382"/>
      <c r="H44" s="382"/>
    </row>
    <row r="45" spans="1:8" s="383" customFormat="1" x14ac:dyDescent="0.25">
      <c r="A45" s="399"/>
      <c r="B45" s="378"/>
      <c r="C45" s="379"/>
      <c r="D45" s="379"/>
      <c r="E45" s="380"/>
      <c r="F45" s="381"/>
      <c r="G45" s="382"/>
      <c r="H45" s="382"/>
    </row>
    <row r="46" spans="1:8" s="383" customFormat="1" x14ac:dyDescent="0.25">
      <c r="A46" s="399"/>
      <c r="B46" s="378"/>
      <c r="C46" s="379"/>
      <c r="D46" s="379"/>
      <c r="E46" s="380"/>
      <c r="F46" s="381"/>
      <c r="G46" s="382"/>
      <c r="H46" s="382"/>
    </row>
    <row r="47" spans="1:8" s="383" customFormat="1" x14ac:dyDescent="0.25">
      <c r="A47" s="399"/>
      <c r="B47" s="378"/>
      <c r="C47" s="379"/>
      <c r="D47" s="379"/>
      <c r="E47" s="380"/>
      <c r="F47" s="381"/>
      <c r="G47" s="382"/>
      <c r="H47" s="382"/>
    </row>
    <row r="48" spans="1:8" s="383" customFormat="1" x14ac:dyDescent="0.25">
      <c r="A48" s="399"/>
      <c r="B48" s="378"/>
      <c r="C48" s="379"/>
      <c r="D48" s="379"/>
      <c r="E48" s="380"/>
      <c r="F48" s="381"/>
      <c r="G48" s="382"/>
      <c r="H48" s="382"/>
    </row>
    <row r="49" spans="1:8" s="383" customFormat="1" x14ac:dyDescent="0.25">
      <c r="A49" s="399"/>
      <c r="B49" s="378"/>
      <c r="C49" s="379"/>
      <c r="D49" s="379"/>
      <c r="E49" s="380"/>
      <c r="F49" s="381"/>
      <c r="G49" s="382"/>
      <c r="H49" s="382"/>
    </row>
    <row r="50" spans="1:8" s="383" customFormat="1" x14ac:dyDescent="0.25">
      <c r="A50" s="399"/>
      <c r="B50" s="378"/>
      <c r="C50" s="379"/>
      <c r="D50" s="379"/>
      <c r="E50" s="380"/>
      <c r="F50" s="381"/>
      <c r="G50" s="382"/>
      <c r="H50" s="382"/>
    </row>
    <row r="51" spans="1:8" s="383" customFormat="1" x14ac:dyDescent="0.25">
      <c r="A51" s="401"/>
      <c r="B51" s="378"/>
      <c r="C51" s="379"/>
      <c r="D51" s="379"/>
      <c r="E51" s="380"/>
      <c r="F51" s="381"/>
      <c r="G51" s="382"/>
      <c r="H51" s="382"/>
    </row>
    <row r="52" spans="1:8" s="383" customFormat="1" ht="15" customHeight="1" x14ac:dyDescent="0.25">
      <c r="A52" s="401"/>
      <c r="B52" s="378"/>
      <c r="C52" s="379"/>
      <c r="D52" s="379"/>
      <c r="E52" s="379"/>
      <c r="F52" s="381"/>
      <c r="G52" s="382"/>
      <c r="H52" s="382"/>
    </row>
    <row r="53" spans="1:8" s="383" customFormat="1" x14ac:dyDescent="0.25">
      <c r="A53" s="401"/>
      <c r="B53" s="378"/>
      <c r="C53" s="379"/>
      <c r="D53" s="379"/>
      <c r="E53" s="379"/>
      <c r="F53" s="381"/>
      <c r="G53" s="382"/>
      <c r="H53" s="382"/>
    </row>
    <row r="54" spans="1:8" s="383" customFormat="1" x14ac:dyDescent="0.25">
      <c r="A54" s="401"/>
      <c r="B54" s="378"/>
      <c r="C54" s="379"/>
      <c r="D54" s="379"/>
      <c r="E54" s="379"/>
      <c r="F54" s="381"/>
      <c r="G54" s="382"/>
      <c r="H54" s="382"/>
    </row>
    <row r="55" spans="1:8" s="383" customFormat="1" x14ac:dyDescent="0.25">
      <c r="A55" s="401"/>
      <c r="B55" s="378"/>
      <c r="C55" s="379"/>
      <c r="D55" s="379"/>
      <c r="E55" s="379"/>
      <c r="F55" s="381"/>
      <c r="G55" s="382"/>
      <c r="H55" s="382"/>
    </row>
    <row r="56" spans="1:8" s="383" customFormat="1" x14ac:dyDescent="0.25">
      <c r="A56" s="401"/>
      <c r="B56" s="378"/>
      <c r="C56" s="379"/>
      <c r="D56" s="379"/>
      <c r="E56" s="379"/>
      <c r="F56" s="381"/>
      <c r="G56" s="382"/>
      <c r="H56" s="382"/>
    </row>
    <row r="57" spans="1:8" s="383" customFormat="1" x14ac:dyDescent="0.25">
      <c r="A57" s="401"/>
      <c r="B57" s="378"/>
      <c r="C57" s="379"/>
      <c r="D57" s="379"/>
      <c r="E57" s="379"/>
      <c r="F57" s="381"/>
      <c r="G57" s="382"/>
      <c r="H57" s="382"/>
    </row>
    <row r="58" spans="1:8" s="383" customFormat="1" x14ac:dyDescent="0.25">
      <c r="A58" s="401"/>
      <c r="B58" s="378"/>
      <c r="C58" s="379"/>
      <c r="D58" s="379"/>
      <c r="E58" s="379"/>
      <c r="F58" s="381"/>
      <c r="G58" s="382"/>
      <c r="H58" s="382"/>
    </row>
    <row r="59" spans="1:8" s="383" customFormat="1" x14ac:dyDescent="0.25">
      <c r="A59" s="401"/>
      <c r="B59" s="378"/>
      <c r="C59" s="379"/>
      <c r="D59" s="379"/>
      <c r="E59" s="379"/>
      <c r="F59" s="381"/>
      <c r="G59" s="382"/>
      <c r="H59" s="382"/>
    </row>
    <row r="60" spans="1:8" s="383" customFormat="1" x14ac:dyDescent="0.25">
      <c r="A60" s="401"/>
      <c r="B60" s="378"/>
      <c r="C60" s="379"/>
      <c r="D60" s="379"/>
      <c r="E60" s="379"/>
      <c r="F60" s="381"/>
      <c r="G60" s="382"/>
      <c r="H60" s="382"/>
    </row>
    <row r="61" spans="1:8" s="383" customFormat="1" x14ac:dyDescent="0.25">
      <c r="A61" s="401"/>
      <c r="B61" s="378"/>
      <c r="C61" s="379"/>
      <c r="D61" s="379"/>
      <c r="E61" s="379"/>
      <c r="F61" s="381"/>
      <c r="G61" s="382"/>
      <c r="H61" s="378"/>
    </row>
    <row r="62" spans="1:8" s="383" customFormat="1" x14ac:dyDescent="0.25">
      <c r="A62" s="401"/>
      <c r="B62" s="378"/>
      <c r="C62" s="379"/>
      <c r="D62" s="379"/>
      <c r="E62" s="379"/>
      <c r="F62" s="381"/>
      <c r="G62" s="382"/>
      <c r="H62" s="378"/>
    </row>
    <row r="63" spans="1:8" s="383" customFormat="1" x14ac:dyDescent="0.25">
      <c r="A63" s="401"/>
      <c r="B63" s="378"/>
      <c r="C63" s="379"/>
      <c r="D63" s="379"/>
      <c r="E63" s="379"/>
      <c r="F63" s="381"/>
      <c r="G63" s="382"/>
      <c r="H63" s="378"/>
    </row>
    <row r="64" spans="1:8" s="383" customFormat="1" x14ac:dyDescent="0.25">
      <c r="A64" s="401"/>
      <c r="B64" s="378"/>
      <c r="C64" s="379"/>
      <c r="D64" s="379"/>
      <c r="E64" s="379"/>
      <c r="F64" s="381"/>
      <c r="G64" s="382"/>
      <c r="H64" s="378"/>
    </row>
    <row r="65" spans="1:8" s="383" customFormat="1" x14ac:dyDescent="0.25">
      <c r="A65" s="401"/>
      <c r="B65" s="378"/>
      <c r="C65" s="379"/>
      <c r="D65" s="379"/>
      <c r="E65" s="379"/>
      <c r="F65" s="381"/>
      <c r="G65" s="382"/>
      <c r="H65" s="378"/>
    </row>
    <row r="66" spans="1:8" s="383" customFormat="1" x14ac:dyDescent="0.25">
      <c r="A66" s="401"/>
      <c r="B66" s="378"/>
      <c r="C66" s="379"/>
      <c r="D66" s="379"/>
      <c r="E66" s="379"/>
      <c r="F66" s="381"/>
      <c r="G66" s="382"/>
      <c r="H66" s="382"/>
    </row>
    <row r="67" spans="1:8" s="383" customFormat="1" x14ac:dyDescent="0.25">
      <c r="A67" s="401"/>
      <c r="B67" s="378"/>
      <c r="C67" s="379"/>
      <c r="D67" s="379"/>
      <c r="E67" s="379"/>
      <c r="F67" s="381"/>
      <c r="G67" s="382"/>
      <c r="H67" s="382"/>
    </row>
    <row r="68" spans="1:8" s="383" customFormat="1" x14ac:dyDescent="0.25">
      <c r="A68" s="401"/>
      <c r="B68" s="378"/>
      <c r="C68" s="379"/>
      <c r="D68" s="379"/>
      <c r="E68" s="379"/>
      <c r="F68" s="381"/>
      <c r="G68" s="382"/>
      <c r="H68" s="378"/>
    </row>
    <row r="69" spans="1:8" s="383" customFormat="1" x14ac:dyDescent="0.25">
      <c r="A69" s="401"/>
      <c r="B69" s="378"/>
      <c r="C69" s="379"/>
      <c r="D69" s="379"/>
      <c r="E69" s="379"/>
      <c r="F69" s="381"/>
      <c r="G69" s="382"/>
      <c r="H69" s="382"/>
    </row>
    <row r="70" spans="1:8" s="383" customFormat="1" x14ac:dyDescent="0.25">
      <c r="A70" s="401"/>
      <c r="B70" s="378"/>
      <c r="C70" s="379"/>
      <c r="D70" s="379"/>
      <c r="E70" s="379"/>
      <c r="F70" s="381"/>
      <c r="G70" s="382"/>
      <c r="H70" s="382"/>
    </row>
    <row r="71" spans="1:8" x14ac:dyDescent="0.25">
      <c r="A71" s="398"/>
      <c r="B71" s="369"/>
      <c r="C71" s="370"/>
      <c r="D71" s="370"/>
      <c r="E71" s="370"/>
      <c r="F71" s="371"/>
      <c r="G71" s="372"/>
      <c r="H71" s="372"/>
    </row>
    <row r="72" spans="1:8" x14ac:dyDescent="0.25">
      <c r="A72" s="395"/>
      <c r="B72" s="362"/>
      <c r="C72" s="366"/>
      <c r="D72" s="366"/>
      <c r="E72" s="366"/>
      <c r="F72" s="367"/>
      <c r="G72" s="373"/>
      <c r="H72" s="373"/>
    </row>
  </sheetData>
  <mergeCells count="19">
    <mergeCell ref="B2:B9"/>
    <mergeCell ref="G2:G9"/>
    <mergeCell ref="H2:H9"/>
    <mergeCell ref="B10:B12"/>
    <mergeCell ref="G10:G12"/>
    <mergeCell ref="H10:H12"/>
    <mergeCell ref="B14:B15"/>
    <mergeCell ref="G14:G15"/>
    <mergeCell ref="H14:H15"/>
    <mergeCell ref="B17:B20"/>
    <mergeCell ref="G17:G20"/>
    <mergeCell ref="H17:H20"/>
    <mergeCell ref="B27:B31"/>
    <mergeCell ref="B22:B24"/>
    <mergeCell ref="G22:G24"/>
    <mergeCell ref="H22:H24"/>
    <mergeCell ref="B25:B26"/>
    <mergeCell ref="G25:G26"/>
    <mergeCell ref="H25:H2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4" sqref="C4:F7"/>
    </sheetView>
  </sheetViews>
  <sheetFormatPr defaultRowHeight="12.75" x14ac:dyDescent="0.2"/>
  <cols>
    <col min="1" max="1" width="9.85546875" style="403" customWidth="1"/>
    <col min="2" max="2" width="18.140625" style="403" customWidth="1"/>
    <col min="3" max="3" width="8.140625" style="403" customWidth="1"/>
    <col min="4" max="4" width="6.28515625" style="403" customWidth="1"/>
    <col min="5" max="5" width="9.42578125" style="403" customWidth="1"/>
    <col min="6" max="6" width="21.28515625" style="403" customWidth="1"/>
    <col min="7" max="7" width="20" style="403" customWidth="1"/>
    <col min="8" max="8" width="11.28515625" style="403" customWidth="1"/>
    <col min="9" max="16384" width="9.140625" style="403"/>
  </cols>
  <sheetData>
    <row r="1" spans="1:8" ht="25.5" x14ac:dyDescent="0.2">
      <c r="A1" s="407" t="s">
        <v>117</v>
      </c>
      <c r="B1" s="407" t="s">
        <v>200</v>
      </c>
      <c r="C1" s="407" t="s">
        <v>119</v>
      </c>
      <c r="D1" s="407" t="s">
        <v>120</v>
      </c>
      <c r="E1" s="407" t="s">
        <v>121</v>
      </c>
      <c r="F1" s="407" t="s">
        <v>225</v>
      </c>
      <c r="G1" s="408" t="s">
        <v>226</v>
      </c>
      <c r="H1" s="408" t="s">
        <v>143</v>
      </c>
    </row>
    <row r="2" spans="1:8" ht="51" x14ac:dyDescent="0.2">
      <c r="A2" s="409">
        <v>42194</v>
      </c>
      <c r="B2" s="410"/>
      <c r="C2" s="394">
        <v>1255</v>
      </c>
      <c r="D2" s="411">
        <v>3</v>
      </c>
      <c r="E2" s="391">
        <f t="shared" ref="E2:E7" si="0">C2*D2</f>
        <v>3765</v>
      </c>
      <c r="F2" s="412" t="s">
        <v>740</v>
      </c>
      <c r="G2" s="413" t="s">
        <v>741</v>
      </c>
      <c r="H2" s="413" t="s">
        <v>742</v>
      </c>
    </row>
    <row r="3" spans="1:8" x14ac:dyDescent="0.2">
      <c r="A3" s="409"/>
      <c r="B3" s="410"/>
      <c r="C3" s="394"/>
      <c r="D3" s="411"/>
      <c r="E3" s="394"/>
      <c r="F3" s="412"/>
      <c r="G3" s="413"/>
      <c r="H3" s="413"/>
    </row>
    <row r="4" spans="1:8" ht="24" x14ac:dyDescent="0.2">
      <c r="A4" s="414">
        <v>42243</v>
      </c>
      <c r="B4" s="415" t="s">
        <v>43</v>
      </c>
      <c r="C4" s="419">
        <v>495</v>
      </c>
      <c r="D4" s="419">
        <v>1</v>
      </c>
      <c r="E4" s="419">
        <f t="shared" si="0"/>
        <v>495</v>
      </c>
      <c r="F4" s="419" t="s">
        <v>743</v>
      </c>
      <c r="G4" s="419" t="s">
        <v>744</v>
      </c>
      <c r="H4" s="419" t="s">
        <v>745</v>
      </c>
    </row>
    <row r="5" spans="1:8" ht="24" x14ac:dyDescent="0.2">
      <c r="A5" s="414">
        <v>42251</v>
      </c>
      <c r="B5" s="415" t="s">
        <v>43</v>
      </c>
      <c r="C5" s="419">
        <v>481</v>
      </c>
      <c r="D5" s="419">
        <v>1</v>
      </c>
      <c r="E5" s="419">
        <f t="shared" si="0"/>
        <v>481</v>
      </c>
      <c r="F5" s="419" t="s">
        <v>746</v>
      </c>
      <c r="G5" s="419" t="s">
        <v>747</v>
      </c>
      <c r="H5" s="419" t="s">
        <v>748</v>
      </c>
    </row>
    <row r="6" spans="1:8" ht="24" x14ac:dyDescent="0.2">
      <c r="A6" s="414">
        <v>42255</v>
      </c>
      <c r="B6" s="415" t="s">
        <v>43</v>
      </c>
      <c r="C6" s="419">
        <v>576</v>
      </c>
      <c r="D6" s="419">
        <v>1</v>
      </c>
      <c r="E6" s="419">
        <f t="shared" si="0"/>
        <v>576</v>
      </c>
      <c r="F6" s="419" t="s">
        <v>749</v>
      </c>
      <c r="G6" s="419" t="s">
        <v>747</v>
      </c>
      <c r="H6" s="419" t="s">
        <v>748</v>
      </c>
    </row>
    <row r="7" spans="1:8" ht="24" x14ac:dyDescent="0.2">
      <c r="A7" s="414">
        <v>42321</v>
      </c>
      <c r="B7" s="415" t="s">
        <v>43</v>
      </c>
      <c r="C7" s="419">
        <v>100</v>
      </c>
      <c r="D7" s="419">
        <v>1</v>
      </c>
      <c r="E7" s="419">
        <f t="shared" si="0"/>
        <v>100</v>
      </c>
      <c r="F7" s="419" t="s">
        <v>750</v>
      </c>
      <c r="G7" s="419" t="s">
        <v>751</v>
      </c>
      <c r="H7" s="419" t="s">
        <v>752</v>
      </c>
    </row>
    <row r="8" spans="1:8" x14ac:dyDescent="0.2">
      <c r="A8" s="410"/>
      <c r="B8" s="410"/>
      <c r="C8" s="410"/>
      <c r="D8" s="410"/>
      <c r="E8" s="416">
        <f>SUM(E4:E7)</f>
        <v>1652</v>
      </c>
      <c r="F8" s="410"/>
      <c r="G8" s="410"/>
      <c r="H8" s="410"/>
    </row>
    <row r="9" spans="1:8" s="405" customFormat="1" ht="24" x14ac:dyDescent="0.2">
      <c r="A9" s="418">
        <v>42362</v>
      </c>
      <c r="B9" s="415" t="s">
        <v>43</v>
      </c>
      <c r="C9" s="419">
        <v>100</v>
      </c>
      <c r="D9" s="419">
        <v>2</v>
      </c>
      <c r="E9" s="419">
        <f>C9*D9</f>
        <v>200</v>
      </c>
      <c r="F9" s="419" t="s">
        <v>754</v>
      </c>
      <c r="G9" s="419" t="s">
        <v>755</v>
      </c>
      <c r="H9" s="419" t="s">
        <v>756</v>
      </c>
    </row>
    <row r="10" spans="1:8" s="405" customFormat="1" ht="24" x14ac:dyDescent="0.2">
      <c r="A10" s="418">
        <v>42368</v>
      </c>
      <c r="B10" s="415" t="s">
        <v>43</v>
      </c>
      <c r="C10" s="419">
        <v>2350</v>
      </c>
      <c r="D10" s="419">
        <v>1</v>
      </c>
      <c r="E10" s="419">
        <f t="shared" ref="E10" si="1">C10*D10</f>
        <v>2350</v>
      </c>
      <c r="F10" s="419" t="s">
        <v>757</v>
      </c>
      <c r="G10" s="419" t="s">
        <v>758</v>
      </c>
      <c r="H10" s="419" t="s">
        <v>748</v>
      </c>
    </row>
    <row r="11" spans="1:8" s="405" customFormat="1" x14ac:dyDescent="0.2">
      <c r="A11" s="404"/>
      <c r="B11" s="404"/>
      <c r="C11" s="404"/>
      <c r="D11" s="404"/>
      <c r="E11" s="417">
        <f>SUM(E9:E10)</f>
        <v>2550</v>
      </c>
      <c r="F11" s="404"/>
      <c r="G11" s="404"/>
      <c r="H11" s="404"/>
    </row>
    <row r="12" spans="1:8" s="405" customFormat="1" ht="24" x14ac:dyDescent="0.2">
      <c r="A12" s="418">
        <v>42335</v>
      </c>
      <c r="B12" s="415" t="s">
        <v>43</v>
      </c>
      <c r="C12" s="419"/>
      <c r="D12" s="419"/>
      <c r="E12" s="419">
        <v>2500</v>
      </c>
      <c r="F12" s="419" t="s">
        <v>759</v>
      </c>
      <c r="G12" s="419"/>
      <c r="H12" s="419" t="s">
        <v>748</v>
      </c>
    </row>
    <row r="13" spans="1:8" s="405" customFormat="1" x14ac:dyDescent="0.2">
      <c r="E13" s="406"/>
    </row>
    <row r="14" spans="1:8" s="405" customFormat="1" x14ac:dyDescent="0.2">
      <c r="E14" s="406"/>
    </row>
    <row r="15" spans="1:8" s="405" customFormat="1" x14ac:dyDescent="0.2">
      <c r="E15" s="406"/>
    </row>
    <row r="16" spans="1:8" s="405" customFormat="1" x14ac:dyDescent="0.2">
      <c r="E16" s="406"/>
    </row>
    <row r="17" s="405" customFormat="1" x14ac:dyDescent="0.2"/>
    <row r="18" s="405" customFormat="1" x14ac:dyDescent="0.2"/>
    <row r="19" s="405" customFormat="1" x14ac:dyDescent="0.2"/>
    <row r="20" s="405" customFormat="1" x14ac:dyDescent="0.2"/>
    <row r="21" s="405" customFormat="1" x14ac:dyDescent="0.2"/>
    <row r="22" s="405" customFormat="1" x14ac:dyDescent="0.2"/>
    <row r="23" s="405" customFormat="1" x14ac:dyDescent="0.2"/>
    <row r="24" s="405" customFormat="1" x14ac:dyDescent="0.2"/>
    <row r="25" s="405" customFormat="1" x14ac:dyDescent="0.2"/>
    <row r="26" s="405" customFormat="1" x14ac:dyDescent="0.2"/>
    <row r="27" s="405" customFormat="1" x14ac:dyDescent="0.2"/>
    <row r="28" s="405" customFormat="1" x14ac:dyDescent="0.2"/>
    <row r="29" s="405" customFormat="1" x14ac:dyDescent="0.2"/>
    <row r="30" s="405" customFormat="1" x14ac:dyDescent="0.2"/>
    <row r="31" s="405" customFormat="1" x14ac:dyDescent="0.2"/>
    <row r="32" s="405" customFormat="1" x14ac:dyDescent="0.2"/>
    <row r="33" spans="5:5" s="405" customFormat="1" x14ac:dyDescent="0.2">
      <c r="E33" s="406"/>
    </row>
    <row r="34" spans="5:5" s="405" customFormat="1" x14ac:dyDescent="0.2"/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" sqref="A2:E9"/>
    </sheetView>
  </sheetViews>
  <sheetFormatPr defaultRowHeight="15" x14ac:dyDescent="0.25"/>
  <cols>
    <col min="1" max="1" width="11.28515625" style="428" customWidth="1"/>
    <col min="2" max="2" width="9.7109375" style="429" customWidth="1"/>
    <col min="3" max="3" width="9.140625" style="429" customWidth="1"/>
    <col min="4" max="4" width="10.7109375" style="429" customWidth="1"/>
    <col min="5" max="5" width="21.85546875" style="430" customWidth="1"/>
    <col min="6" max="6" width="15.140625" style="431" customWidth="1"/>
    <col min="7" max="7" width="9.140625" style="431"/>
    <col min="8" max="16384" width="9.140625" style="164"/>
  </cols>
  <sheetData>
    <row r="1" spans="1:7" ht="31.5" customHeight="1" x14ac:dyDescent="0.25">
      <c r="A1" s="433" t="s">
        <v>117</v>
      </c>
      <c r="B1" s="433" t="s">
        <v>119</v>
      </c>
      <c r="C1" s="433" t="s">
        <v>120</v>
      </c>
      <c r="D1" s="433" t="s">
        <v>121</v>
      </c>
      <c r="E1" s="433" t="s">
        <v>225</v>
      </c>
      <c r="F1" s="434" t="s">
        <v>226</v>
      </c>
      <c r="G1" s="434" t="s">
        <v>143</v>
      </c>
    </row>
    <row r="2" spans="1:7" x14ac:dyDescent="0.25">
      <c r="A2" s="708">
        <v>42157</v>
      </c>
      <c r="B2" s="435">
        <v>14.5</v>
      </c>
      <c r="C2" s="436">
        <v>10</v>
      </c>
      <c r="D2" s="435">
        <f>B2*C2</f>
        <v>145</v>
      </c>
      <c r="E2" s="437" t="s">
        <v>760</v>
      </c>
      <c r="F2" s="709" t="s">
        <v>761</v>
      </c>
      <c r="G2" s="709" t="s">
        <v>762</v>
      </c>
    </row>
    <row r="3" spans="1:7" ht="24" x14ac:dyDescent="0.25">
      <c r="A3" s="708"/>
      <c r="B3" s="435">
        <v>45</v>
      </c>
      <c r="C3" s="436">
        <v>1</v>
      </c>
      <c r="D3" s="435">
        <f>B3*C3</f>
        <v>45</v>
      </c>
      <c r="E3" s="437" t="s">
        <v>763</v>
      </c>
      <c r="F3" s="709"/>
      <c r="G3" s="709"/>
    </row>
    <row r="4" spans="1:7" x14ac:dyDescent="0.25">
      <c r="A4" s="708"/>
      <c r="B4" s="435">
        <v>48.5</v>
      </c>
      <c r="C4" s="436">
        <v>10</v>
      </c>
      <c r="D4" s="435">
        <f t="shared" ref="D4:D9" si="0">B4*C4</f>
        <v>485</v>
      </c>
      <c r="E4" s="437" t="s">
        <v>764</v>
      </c>
      <c r="F4" s="709"/>
      <c r="G4" s="709"/>
    </row>
    <row r="5" spans="1:7" ht="36" x14ac:dyDescent="0.25">
      <c r="A5" s="708"/>
      <c r="B5" s="435">
        <v>153</v>
      </c>
      <c r="C5" s="436">
        <v>2</v>
      </c>
      <c r="D5" s="435">
        <f t="shared" si="0"/>
        <v>306</v>
      </c>
      <c r="E5" s="437" t="s">
        <v>765</v>
      </c>
      <c r="F5" s="709"/>
      <c r="G5" s="709"/>
    </row>
    <row r="6" spans="1:7" ht="24" x14ac:dyDescent="0.25">
      <c r="A6" s="438">
        <v>42243</v>
      </c>
      <c r="B6" s="435">
        <v>1948</v>
      </c>
      <c r="C6" s="436">
        <v>1</v>
      </c>
      <c r="D6" s="435">
        <f t="shared" si="0"/>
        <v>1948</v>
      </c>
      <c r="E6" s="437" t="s">
        <v>766</v>
      </c>
      <c r="F6" s="439" t="s">
        <v>767</v>
      </c>
      <c r="G6" s="433">
        <v>86</v>
      </c>
    </row>
    <row r="7" spans="1:7" ht="48" x14ac:dyDescent="0.25">
      <c r="A7" s="708">
        <v>42256</v>
      </c>
      <c r="B7" s="435">
        <v>29.9</v>
      </c>
      <c r="C7" s="436">
        <v>61</v>
      </c>
      <c r="D7" s="435">
        <f t="shared" si="0"/>
        <v>1823.8999999999999</v>
      </c>
      <c r="E7" s="437" t="s">
        <v>768</v>
      </c>
      <c r="F7" s="710" t="s">
        <v>769</v>
      </c>
      <c r="G7" s="709">
        <v>86</v>
      </c>
    </row>
    <row r="8" spans="1:7" ht="24" x14ac:dyDescent="0.25">
      <c r="A8" s="708"/>
      <c r="B8" s="435">
        <v>29.9</v>
      </c>
      <c r="C8" s="436">
        <v>39</v>
      </c>
      <c r="D8" s="435">
        <f t="shared" si="0"/>
        <v>1166.0999999999999</v>
      </c>
      <c r="E8" s="437" t="s">
        <v>770</v>
      </c>
      <c r="F8" s="710"/>
      <c r="G8" s="709"/>
    </row>
    <row r="9" spans="1:7" ht="36" x14ac:dyDescent="0.25">
      <c r="A9" s="438">
        <v>42318</v>
      </c>
      <c r="B9" s="436">
        <v>17</v>
      </c>
      <c r="C9" s="436">
        <v>154</v>
      </c>
      <c r="D9" s="436">
        <f t="shared" si="0"/>
        <v>2618</v>
      </c>
      <c r="E9" s="437" t="s">
        <v>771</v>
      </c>
      <c r="F9" s="439" t="s">
        <v>769</v>
      </c>
      <c r="G9" s="433">
        <v>86</v>
      </c>
    </row>
    <row r="10" spans="1:7" x14ac:dyDescent="0.25">
      <c r="A10" s="444"/>
      <c r="B10" s="445"/>
      <c r="C10" s="445"/>
      <c r="D10" s="446">
        <f>SUM(D2:D9)</f>
        <v>8537</v>
      </c>
      <c r="E10" s="447"/>
      <c r="F10" s="448"/>
      <c r="G10" s="448"/>
    </row>
    <row r="11" spans="1:7" s="220" customFormat="1" x14ac:dyDescent="0.25">
      <c r="A11" s="440"/>
      <c r="B11" s="441"/>
      <c r="C11" s="441"/>
      <c r="D11" s="441"/>
      <c r="E11" s="442"/>
      <c r="F11" s="443"/>
      <c r="G11" s="443"/>
    </row>
    <row r="12" spans="1:7" s="220" customFormat="1" x14ac:dyDescent="0.25">
      <c r="A12" s="440"/>
      <c r="B12" s="441"/>
      <c r="C12" s="441"/>
      <c r="D12" s="441"/>
      <c r="E12" s="442"/>
      <c r="F12" s="443"/>
      <c r="G12" s="443"/>
    </row>
    <row r="13" spans="1:7" s="220" customFormat="1" x14ac:dyDescent="0.25">
      <c r="A13" s="440"/>
      <c r="B13" s="441"/>
      <c r="C13" s="441"/>
      <c r="D13" s="441"/>
      <c r="E13" s="442"/>
      <c r="F13" s="443"/>
      <c r="G13" s="443"/>
    </row>
    <row r="14" spans="1:7" s="220" customFormat="1" ht="15" customHeight="1" x14ac:dyDescent="0.25">
      <c r="A14" s="440"/>
      <c r="B14" s="441"/>
      <c r="C14" s="441"/>
      <c r="D14" s="441"/>
      <c r="E14" s="442"/>
      <c r="F14" s="443"/>
      <c r="G14" s="443"/>
    </row>
    <row r="15" spans="1:7" s="220" customFormat="1" x14ac:dyDescent="0.25">
      <c r="A15" s="440"/>
      <c r="B15" s="441"/>
      <c r="C15" s="441"/>
      <c r="D15" s="441"/>
      <c r="E15" s="442"/>
      <c r="F15" s="443"/>
      <c r="G15" s="443"/>
    </row>
    <row r="16" spans="1:7" s="220" customFormat="1" x14ac:dyDescent="0.25">
      <c r="A16" s="440"/>
      <c r="B16" s="441"/>
      <c r="C16" s="441"/>
      <c r="D16" s="441"/>
      <c r="E16" s="442"/>
      <c r="F16" s="443"/>
      <c r="G16" s="443"/>
    </row>
    <row r="17" spans="1:7" s="220" customFormat="1" x14ac:dyDescent="0.25">
      <c r="A17" s="440"/>
      <c r="B17" s="441"/>
      <c r="C17" s="441"/>
      <c r="D17" s="441"/>
      <c r="E17" s="442"/>
      <c r="F17" s="443"/>
      <c r="G17" s="443"/>
    </row>
    <row r="18" spans="1:7" s="220" customFormat="1" x14ac:dyDescent="0.25">
      <c r="A18" s="440"/>
      <c r="B18" s="441"/>
      <c r="C18" s="441"/>
      <c r="D18" s="441"/>
      <c r="E18" s="442"/>
      <c r="F18" s="443"/>
      <c r="G18" s="443"/>
    </row>
    <row r="19" spans="1:7" s="220" customFormat="1" x14ac:dyDescent="0.25">
      <c r="A19" s="440"/>
      <c r="B19" s="441"/>
      <c r="C19" s="441"/>
      <c r="D19" s="441"/>
      <c r="E19" s="442"/>
      <c r="F19" s="443"/>
      <c r="G19" s="443"/>
    </row>
    <row r="20" spans="1:7" s="220" customFormat="1" x14ac:dyDescent="0.25">
      <c r="A20" s="440"/>
      <c r="B20" s="441"/>
      <c r="C20" s="441"/>
      <c r="D20" s="441"/>
      <c r="E20" s="442"/>
      <c r="F20" s="443"/>
      <c r="G20" s="443"/>
    </row>
    <row r="21" spans="1:7" s="220" customFormat="1" x14ac:dyDescent="0.25">
      <c r="A21" s="440"/>
      <c r="B21" s="441"/>
      <c r="C21" s="441"/>
      <c r="D21" s="441"/>
      <c r="E21" s="442"/>
      <c r="F21" s="443"/>
      <c r="G21" s="443"/>
    </row>
    <row r="22" spans="1:7" s="220" customFormat="1" x14ac:dyDescent="0.25">
      <c r="A22" s="440"/>
      <c r="B22" s="441"/>
      <c r="C22" s="441"/>
      <c r="D22" s="441"/>
      <c r="E22" s="442"/>
      <c r="F22" s="443"/>
      <c r="G22" s="443"/>
    </row>
    <row r="23" spans="1:7" s="220" customFormat="1" x14ac:dyDescent="0.25">
      <c r="A23" s="440"/>
      <c r="B23" s="441"/>
      <c r="C23" s="441"/>
      <c r="D23" s="441"/>
      <c r="E23" s="442"/>
      <c r="F23" s="443"/>
      <c r="G23" s="440"/>
    </row>
    <row r="24" spans="1:7" s="220" customFormat="1" x14ac:dyDescent="0.25">
      <c r="A24" s="440"/>
      <c r="B24" s="441"/>
      <c r="C24" s="441"/>
      <c r="D24" s="441"/>
      <c r="E24" s="442"/>
      <c r="F24" s="443"/>
      <c r="G24" s="440"/>
    </row>
    <row r="25" spans="1:7" s="220" customFormat="1" x14ac:dyDescent="0.25">
      <c r="A25" s="440"/>
      <c r="B25" s="441"/>
      <c r="C25" s="441"/>
      <c r="D25" s="441"/>
      <c r="E25" s="442"/>
      <c r="F25" s="443"/>
      <c r="G25" s="440"/>
    </row>
    <row r="26" spans="1:7" s="220" customFormat="1" x14ac:dyDescent="0.25">
      <c r="A26" s="440"/>
      <c r="B26" s="441"/>
      <c r="C26" s="441"/>
      <c r="D26" s="441"/>
      <c r="E26" s="442"/>
      <c r="F26" s="443"/>
      <c r="G26" s="440"/>
    </row>
    <row r="27" spans="1:7" s="220" customFormat="1" x14ac:dyDescent="0.25">
      <c r="A27" s="440"/>
      <c r="B27" s="441"/>
      <c r="C27" s="441"/>
      <c r="D27" s="441"/>
      <c r="E27" s="442"/>
      <c r="F27" s="443"/>
      <c r="G27" s="440"/>
    </row>
    <row r="28" spans="1:7" s="220" customFormat="1" x14ac:dyDescent="0.25">
      <c r="A28" s="440"/>
      <c r="B28" s="441"/>
      <c r="C28" s="441"/>
      <c r="D28" s="441"/>
      <c r="E28" s="442"/>
      <c r="F28" s="443"/>
      <c r="G28" s="443"/>
    </row>
    <row r="29" spans="1:7" s="220" customFormat="1" x14ac:dyDescent="0.25">
      <c r="A29" s="440"/>
      <c r="B29" s="441"/>
      <c r="C29" s="441"/>
      <c r="D29" s="441"/>
      <c r="E29" s="442"/>
      <c r="F29" s="443"/>
      <c r="G29" s="443"/>
    </row>
    <row r="30" spans="1:7" s="220" customFormat="1" x14ac:dyDescent="0.25">
      <c r="A30" s="440"/>
      <c r="B30" s="441"/>
      <c r="C30" s="441"/>
      <c r="D30" s="441"/>
      <c r="E30" s="442"/>
      <c r="F30" s="443"/>
      <c r="G30" s="440"/>
    </row>
    <row r="31" spans="1:7" s="220" customFormat="1" x14ac:dyDescent="0.25">
      <c r="A31" s="440"/>
      <c r="B31" s="441"/>
      <c r="C31" s="441"/>
      <c r="D31" s="441"/>
      <c r="E31" s="442"/>
      <c r="F31" s="443"/>
      <c r="G31" s="443"/>
    </row>
    <row r="32" spans="1:7" s="220" customFormat="1" x14ac:dyDescent="0.25">
      <c r="A32" s="440"/>
      <c r="B32" s="441"/>
      <c r="C32" s="441"/>
      <c r="D32" s="441"/>
      <c r="E32" s="442"/>
      <c r="F32" s="443"/>
      <c r="G32" s="443"/>
    </row>
    <row r="33" spans="1:7" s="220" customFormat="1" x14ac:dyDescent="0.25">
      <c r="A33" s="440"/>
      <c r="B33" s="441"/>
      <c r="C33" s="441"/>
      <c r="D33" s="441"/>
      <c r="E33" s="442"/>
      <c r="F33" s="443"/>
      <c r="G33" s="443"/>
    </row>
    <row r="34" spans="1:7" s="220" customFormat="1" x14ac:dyDescent="0.25">
      <c r="A34" s="440"/>
      <c r="B34" s="441"/>
      <c r="C34" s="441"/>
      <c r="D34" s="441"/>
      <c r="E34" s="442"/>
      <c r="F34" s="443"/>
      <c r="G34" s="443"/>
    </row>
    <row r="35" spans="1:7" s="220" customFormat="1" x14ac:dyDescent="0.25">
      <c r="A35" s="440"/>
      <c r="B35" s="441"/>
      <c r="C35" s="441"/>
      <c r="D35" s="174"/>
      <c r="E35" s="442"/>
      <c r="F35" s="443"/>
      <c r="G35" s="443"/>
    </row>
    <row r="36" spans="1:7" s="220" customFormat="1" x14ac:dyDescent="0.25">
      <c r="A36" s="440"/>
      <c r="B36" s="441"/>
      <c r="C36" s="441"/>
      <c r="D36" s="441"/>
      <c r="E36" s="442"/>
      <c r="F36" s="443"/>
      <c r="G36" s="443"/>
    </row>
    <row r="37" spans="1:7" s="220" customFormat="1" x14ac:dyDescent="0.25">
      <c r="A37" s="440"/>
      <c r="B37" s="441"/>
      <c r="C37" s="441"/>
      <c r="D37" s="441"/>
      <c r="E37" s="442"/>
      <c r="F37" s="443"/>
      <c r="G37" s="443"/>
    </row>
    <row r="38" spans="1:7" s="220" customFormat="1" x14ac:dyDescent="0.25">
      <c r="A38" s="440"/>
      <c r="B38" s="441"/>
      <c r="C38" s="441"/>
      <c r="D38" s="441"/>
      <c r="E38" s="442"/>
      <c r="F38" s="443"/>
      <c r="G38" s="443"/>
    </row>
    <row r="39" spans="1:7" s="220" customFormat="1" x14ac:dyDescent="0.25">
      <c r="A39" s="440"/>
      <c r="B39" s="441"/>
      <c r="C39" s="441"/>
      <c r="D39" s="441"/>
      <c r="E39" s="442"/>
      <c r="F39" s="443"/>
      <c r="G39" s="443"/>
    </row>
    <row r="40" spans="1:7" s="220" customFormat="1" x14ac:dyDescent="0.25">
      <c r="A40" s="440"/>
      <c r="B40" s="441"/>
      <c r="C40" s="441"/>
      <c r="D40" s="441"/>
      <c r="E40" s="442"/>
      <c r="F40" s="443"/>
      <c r="G40" s="443"/>
    </row>
    <row r="41" spans="1:7" s="220" customFormat="1" x14ac:dyDescent="0.25">
      <c r="A41" s="440"/>
      <c r="B41" s="441"/>
      <c r="C41" s="441"/>
      <c r="D41" s="441"/>
      <c r="E41" s="442"/>
      <c r="F41" s="443"/>
      <c r="G41" s="443"/>
    </row>
    <row r="42" spans="1:7" s="220" customFormat="1" x14ac:dyDescent="0.25">
      <c r="A42" s="440"/>
      <c r="B42" s="441"/>
      <c r="C42" s="441"/>
      <c r="D42" s="441"/>
      <c r="E42" s="442"/>
      <c r="F42" s="443"/>
      <c r="G42" s="443"/>
    </row>
    <row r="43" spans="1:7" s="220" customFormat="1" x14ac:dyDescent="0.25">
      <c r="A43" s="440"/>
      <c r="B43" s="441"/>
      <c r="C43" s="441"/>
      <c r="D43" s="441"/>
      <c r="E43" s="442"/>
      <c r="F43" s="443"/>
      <c r="G43" s="443"/>
    </row>
    <row r="44" spans="1:7" s="220" customFormat="1" x14ac:dyDescent="0.25">
      <c r="A44" s="440"/>
      <c r="B44" s="441"/>
      <c r="C44" s="441"/>
      <c r="D44" s="441"/>
      <c r="E44" s="442"/>
      <c r="F44" s="443"/>
      <c r="G44" s="443"/>
    </row>
  </sheetData>
  <mergeCells count="6">
    <mergeCell ref="A2:A5"/>
    <mergeCell ref="F2:F5"/>
    <mergeCell ref="G2:G5"/>
    <mergeCell ref="A7:A8"/>
    <mergeCell ref="F7:F8"/>
    <mergeCell ref="G7:G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10" sqref="C10"/>
    </sheetView>
  </sheetViews>
  <sheetFormatPr defaultRowHeight="15" x14ac:dyDescent="0.25"/>
  <cols>
    <col min="1" max="1" width="10.5703125" style="428" customWidth="1"/>
    <col min="2" max="2" width="18" style="428" customWidth="1"/>
    <col min="3" max="3" width="10.28515625" style="429" customWidth="1"/>
    <col min="4" max="4" width="9.28515625" style="429" customWidth="1"/>
    <col min="5" max="5" width="15.42578125" style="429" customWidth="1"/>
    <col min="6" max="6" width="21.5703125" style="430" customWidth="1"/>
    <col min="7" max="7" width="19.7109375" style="431" customWidth="1"/>
    <col min="8" max="8" width="9.140625" style="431"/>
    <col min="9" max="16384" width="9.140625" style="164"/>
  </cols>
  <sheetData>
    <row r="1" spans="1:8" ht="31.5" customHeight="1" x14ac:dyDescent="0.25">
      <c r="A1" s="433" t="s">
        <v>117</v>
      </c>
      <c r="B1" s="433" t="s">
        <v>200</v>
      </c>
      <c r="C1" s="433" t="s">
        <v>119</v>
      </c>
      <c r="D1" s="433" t="s">
        <v>120</v>
      </c>
      <c r="E1" s="433" t="s">
        <v>121</v>
      </c>
      <c r="F1" s="433" t="s">
        <v>225</v>
      </c>
      <c r="G1" s="434" t="s">
        <v>226</v>
      </c>
      <c r="H1" s="434" t="s">
        <v>143</v>
      </c>
    </row>
    <row r="2" spans="1:8" ht="36" x14ac:dyDescent="0.25">
      <c r="A2" s="708">
        <v>42283</v>
      </c>
      <c r="B2" s="458" t="s">
        <v>367</v>
      </c>
      <c r="C2" s="459">
        <v>2</v>
      </c>
      <c r="D2" s="433">
        <v>50</v>
      </c>
      <c r="E2" s="459">
        <f t="shared" ref="E2:E5" si="0">C2*D2</f>
        <v>100</v>
      </c>
      <c r="F2" s="437" t="s">
        <v>553</v>
      </c>
      <c r="G2" s="439" t="s">
        <v>774</v>
      </c>
      <c r="H2" s="709">
        <v>86</v>
      </c>
    </row>
    <row r="3" spans="1:8" ht="24" x14ac:dyDescent="0.25">
      <c r="A3" s="708"/>
      <c r="B3" s="458" t="s">
        <v>367</v>
      </c>
      <c r="C3" s="459">
        <v>2</v>
      </c>
      <c r="D3" s="433">
        <v>20</v>
      </c>
      <c r="E3" s="459">
        <f t="shared" si="0"/>
        <v>40</v>
      </c>
      <c r="F3" s="437" t="s">
        <v>775</v>
      </c>
      <c r="G3" s="439"/>
      <c r="H3" s="709"/>
    </row>
    <row r="4" spans="1:8" ht="24" x14ac:dyDescent="0.25">
      <c r="A4" s="708"/>
      <c r="B4" s="458" t="s">
        <v>367</v>
      </c>
      <c r="C4" s="459">
        <v>7</v>
      </c>
      <c r="D4" s="433">
        <v>20</v>
      </c>
      <c r="E4" s="459">
        <f t="shared" si="0"/>
        <v>140</v>
      </c>
      <c r="F4" s="437" t="s">
        <v>776</v>
      </c>
      <c r="G4" s="439"/>
      <c r="H4" s="709"/>
    </row>
    <row r="5" spans="1:8" ht="36" x14ac:dyDescent="0.25">
      <c r="A5" s="708"/>
      <c r="B5" s="458" t="s">
        <v>367</v>
      </c>
      <c r="C5" s="432">
        <v>900</v>
      </c>
      <c r="D5" s="432">
        <v>1</v>
      </c>
      <c r="E5" s="432">
        <f t="shared" si="0"/>
        <v>900</v>
      </c>
      <c r="F5" s="437" t="s">
        <v>777</v>
      </c>
      <c r="G5" s="439"/>
      <c r="H5" s="709"/>
    </row>
    <row r="6" spans="1:8" x14ac:dyDescent="0.25">
      <c r="A6" s="433"/>
      <c r="B6" s="433"/>
      <c r="C6" s="436"/>
      <c r="D6" s="436"/>
      <c r="E6" s="460">
        <f>SUM(E2:E5)</f>
        <v>1180</v>
      </c>
      <c r="F6" s="437"/>
      <c r="G6" s="433"/>
      <c r="H6" s="433"/>
    </row>
    <row r="7" spans="1:8" s="220" customFormat="1" x14ac:dyDescent="0.25">
      <c r="A7" s="711"/>
      <c r="B7" s="452"/>
      <c r="C7" s="453"/>
      <c r="D7" s="440"/>
      <c r="E7" s="454"/>
      <c r="F7" s="442"/>
      <c r="G7" s="712"/>
      <c r="H7" s="712"/>
    </row>
    <row r="8" spans="1:8" s="220" customFormat="1" x14ac:dyDescent="0.25">
      <c r="A8" s="711"/>
      <c r="B8" s="452"/>
      <c r="C8" s="454"/>
      <c r="D8" s="440"/>
      <c r="E8" s="454"/>
      <c r="F8" s="442"/>
      <c r="G8" s="712"/>
      <c r="H8" s="712"/>
    </row>
    <row r="9" spans="1:8" s="220" customFormat="1" x14ac:dyDescent="0.25">
      <c r="A9" s="455"/>
      <c r="B9" s="455"/>
      <c r="C9" s="454"/>
      <c r="D9" s="440"/>
      <c r="E9" s="454"/>
      <c r="F9" s="442"/>
      <c r="G9" s="443"/>
      <c r="H9" s="440"/>
    </row>
    <row r="10" spans="1:8" s="220" customFormat="1" x14ac:dyDescent="0.25">
      <c r="A10" s="455"/>
      <c r="B10" s="455"/>
      <c r="C10" s="454"/>
      <c r="D10" s="440"/>
      <c r="E10" s="454"/>
      <c r="F10" s="442"/>
      <c r="G10" s="443"/>
      <c r="H10" s="440"/>
    </row>
    <row r="11" spans="1:8" s="220" customFormat="1" x14ac:dyDescent="0.25">
      <c r="A11" s="455"/>
      <c r="B11" s="455"/>
      <c r="C11" s="454"/>
      <c r="D11" s="440"/>
      <c r="E11" s="456"/>
      <c r="F11" s="442"/>
      <c r="G11" s="443"/>
      <c r="H11" s="440"/>
    </row>
    <row r="12" spans="1:8" s="220" customFormat="1" x14ac:dyDescent="0.25">
      <c r="A12" s="455"/>
      <c r="B12" s="455"/>
      <c r="C12" s="454"/>
      <c r="D12" s="440"/>
      <c r="E12" s="454"/>
      <c r="F12" s="442"/>
      <c r="G12" s="443"/>
      <c r="H12" s="440"/>
    </row>
    <row r="13" spans="1:8" s="220" customFormat="1" x14ac:dyDescent="0.25">
      <c r="A13" s="455"/>
      <c r="B13" s="455"/>
      <c r="C13" s="454"/>
      <c r="D13" s="440"/>
      <c r="E13" s="454"/>
      <c r="F13" s="442"/>
      <c r="G13" s="443"/>
      <c r="H13" s="443"/>
    </row>
    <row r="14" spans="1:8" s="220" customFormat="1" x14ac:dyDescent="0.25">
      <c r="A14" s="440"/>
      <c r="B14" s="440"/>
      <c r="C14" s="440"/>
      <c r="D14" s="441"/>
      <c r="E14" s="174"/>
      <c r="F14" s="442"/>
      <c r="G14" s="443"/>
      <c r="H14" s="443"/>
    </row>
    <row r="15" spans="1:8" s="220" customFormat="1" x14ac:dyDescent="0.25">
      <c r="A15" s="440"/>
      <c r="B15" s="440"/>
      <c r="C15" s="440"/>
      <c r="D15" s="441"/>
      <c r="E15" s="174"/>
      <c r="F15" s="442"/>
      <c r="G15" s="443"/>
      <c r="H15" s="443"/>
    </row>
    <row r="16" spans="1:8" s="220" customFormat="1" x14ac:dyDescent="0.25">
      <c r="A16" s="440"/>
      <c r="B16" s="440"/>
      <c r="C16" s="440"/>
      <c r="D16" s="441"/>
      <c r="E16" s="441"/>
      <c r="F16" s="442"/>
      <c r="G16" s="443"/>
      <c r="H16" s="443"/>
    </row>
    <row r="17" spans="1:8" s="220" customFormat="1" x14ac:dyDescent="0.25">
      <c r="A17" s="440"/>
      <c r="B17" s="440"/>
      <c r="C17" s="440"/>
      <c r="D17" s="441"/>
      <c r="E17" s="441"/>
      <c r="F17" s="442"/>
      <c r="G17" s="443"/>
      <c r="H17" s="443"/>
    </row>
    <row r="18" spans="1:8" s="220" customFormat="1" x14ac:dyDescent="0.25">
      <c r="A18" s="440"/>
      <c r="B18" s="440"/>
      <c r="C18" s="440"/>
      <c r="D18" s="441"/>
      <c r="E18" s="441"/>
      <c r="F18" s="442"/>
      <c r="G18" s="443"/>
      <c r="H18" s="443"/>
    </row>
    <row r="19" spans="1:8" s="220" customFormat="1" x14ac:dyDescent="0.25">
      <c r="A19" s="440"/>
      <c r="B19" s="440"/>
      <c r="C19" s="440"/>
      <c r="D19" s="441"/>
      <c r="E19" s="441"/>
      <c r="F19" s="442"/>
      <c r="G19" s="443"/>
      <c r="H19" s="443"/>
    </row>
    <row r="20" spans="1:8" s="220" customFormat="1" x14ac:dyDescent="0.25">
      <c r="A20" s="440"/>
      <c r="B20" s="440"/>
      <c r="C20" s="441"/>
      <c r="D20" s="441"/>
      <c r="E20" s="441"/>
      <c r="F20" s="442"/>
      <c r="G20" s="443"/>
      <c r="H20" s="443"/>
    </row>
    <row r="21" spans="1:8" s="220" customFormat="1" x14ac:dyDescent="0.25">
      <c r="A21" s="440"/>
      <c r="B21" s="440"/>
      <c r="C21" s="441"/>
      <c r="D21" s="441"/>
      <c r="E21" s="441"/>
      <c r="F21" s="442"/>
      <c r="G21" s="443"/>
      <c r="H21" s="443"/>
    </row>
    <row r="22" spans="1:8" s="220" customFormat="1" x14ac:dyDescent="0.25">
      <c r="A22" s="440"/>
      <c r="B22" s="440"/>
      <c r="C22" s="441"/>
      <c r="D22" s="441"/>
      <c r="E22" s="441"/>
      <c r="F22" s="442"/>
      <c r="G22" s="443"/>
      <c r="H22" s="443"/>
    </row>
    <row r="23" spans="1:8" s="220" customFormat="1" x14ac:dyDescent="0.25">
      <c r="A23" s="440"/>
      <c r="B23" s="440"/>
      <c r="C23" s="441"/>
      <c r="D23" s="441"/>
      <c r="E23" s="441"/>
      <c r="F23" s="442"/>
      <c r="G23" s="443"/>
      <c r="H23" s="443"/>
    </row>
    <row r="24" spans="1:8" s="220" customFormat="1" x14ac:dyDescent="0.25">
      <c r="A24" s="440"/>
      <c r="B24" s="440"/>
      <c r="C24" s="441"/>
      <c r="D24" s="441"/>
      <c r="E24" s="441"/>
      <c r="F24" s="442"/>
      <c r="G24" s="443"/>
      <c r="H24" s="443"/>
    </row>
    <row r="25" spans="1:8" s="220" customFormat="1" x14ac:dyDescent="0.25">
      <c r="A25" s="440"/>
      <c r="B25" s="440"/>
      <c r="C25" s="441"/>
      <c r="D25" s="441"/>
      <c r="E25" s="441"/>
      <c r="F25" s="442"/>
      <c r="G25" s="443"/>
      <c r="H25" s="443"/>
    </row>
    <row r="26" spans="1:8" s="220" customFormat="1" x14ac:dyDescent="0.25">
      <c r="A26" s="483"/>
      <c r="B26" s="483"/>
      <c r="C26" s="441"/>
      <c r="D26" s="441"/>
      <c r="E26" s="441"/>
      <c r="F26" s="442"/>
      <c r="G26" s="443"/>
      <c r="H26" s="443"/>
    </row>
    <row r="27" spans="1:8" s="220" customFormat="1" x14ac:dyDescent="0.25">
      <c r="A27" s="483"/>
      <c r="B27" s="483"/>
      <c r="C27" s="441"/>
      <c r="D27" s="441"/>
      <c r="E27" s="441"/>
      <c r="F27" s="442"/>
      <c r="G27" s="443"/>
      <c r="H27" s="443"/>
    </row>
    <row r="28" spans="1:8" s="220" customFormat="1" x14ac:dyDescent="0.25">
      <c r="A28" s="483"/>
      <c r="B28" s="483"/>
      <c r="C28" s="441"/>
      <c r="D28" s="441"/>
      <c r="E28" s="441"/>
      <c r="F28" s="442"/>
      <c r="G28" s="443"/>
      <c r="H28" s="443"/>
    </row>
    <row r="29" spans="1:8" s="220" customFormat="1" x14ac:dyDescent="0.25">
      <c r="A29" s="483"/>
      <c r="B29" s="483"/>
      <c r="C29" s="441"/>
      <c r="D29" s="441"/>
      <c r="E29" s="441"/>
      <c r="F29" s="442"/>
      <c r="G29" s="443"/>
      <c r="H29" s="443"/>
    </row>
    <row r="30" spans="1:8" s="220" customFormat="1" x14ac:dyDescent="0.25">
      <c r="A30" s="483"/>
      <c r="B30" s="483"/>
      <c r="C30" s="441"/>
      <c r="D30" s="441"/>
      <c r="E30" s="441"/>
      <c r="F30" s="442"/>
      <c r="G30" s="443"/>
      <c r="H30" s="443"/>
    </row>
    <row r="31" spans="1:8" s="220" customFormat="1" x14ac:dyDescent="0.25">
      <c r="A31" s="483"/>
      <c r="B31" s="483"/>
      <c r="C31" s="441"/>
      <c r="D31" s="441"/>
      <c r="E31" s="441"/>
      <c r="F31" s="442"/>
      <c r="G31" s="443"/>
      <c r="H31" s="443"/>
    </row>
    <row r="32" spans="1:8" s="220" customFormat="1" x14ac:dyDescent="0.25">
      <c r="A32" s="483"/>
      <c r="B32" s="483"/>
      <c r="C32" s="441"/>
      <c r="D32" s="441"/>
      <c r="E32" s="441"/>
      <c r="F32" s="442"/>
      <c r="G32" s="443"/>
      <c r="H32" s="443"/>
    </row>
    <row r="33" spans="1:8" s="220" customFormat="1" x14ac:dyDescent="0.25">
      <c r="A33" s="483"/>
      <c r="B33" s="483"/>
      <c r="C33" s="441"/>
      <c r="D33" s="441"/>
      <c r="E33" s="441"/>
      <c r="F33" s="442"/>
      <c r="G33" s="443"/>
      <c r="H33" s="443"/>
    </row>
    <row r="34" spans="1:8" s="220" customFormat="1" x14ac:dyDescent="0.25">
      <c r="A34" s="483"/>
      <c r="B34" s="483"/>
      <c r="C34" s="441"/>
      <c r="D34" s="441"/>
      <c r="E34" s="441"/>
      <c r="F34" s="442"/>
      <c r="G34" s="443"/>
      <c r="H34" s="443"/>
    </row>
    <row r="35" spans="1:8" s="220" customFormat="1" ht="15" customHeight="1" x14ac:dyDescent="0.25">
      <c r="A35" s="483"/>
      <c r="B35" s="483"/>
      <c r="C35" s="441"/>
      <c r="D35" s="441"/>
      <c r="E35" s="441"/>
      <c r="F35" s="442"/>
      <c r="G35" s="443"/>
      <c r="H35" s="443"/>
    </row>
    <row r="36" spans="1:8" s="220" customFormat="1" x14ac:dyDescent="0.25">
      <c r="A36" s="483"/>
      <c r="B36" s="483"/>
      <c r="C36" s="441"/>
      <c r="D36" s="441"/>
      <c r="E36" s="441"/>
      <c r="F36" s="442"/>
      <c r="G36" s="443"/>
      <c r="H36" s="443"/>
    </row>
    <row r="37" spans="1:8" s="220" customFormat="1" x14ac:dyDescent="0.25">
      <c r="A37" s="483"/>
      <c r="B37" s="483"/>
      <c r="C37" s="441"/>
      <c r="D37" s="441"/>
      <c r="E37" s="441"/>
      <c r="F37" s="442"/>
      <c r="G37" s="443"/>
      <c r="H37" s="443"/>
    </row>
    <row r="38" spans="1:8" s="220" customFormat="1" x14ac:dyDescent="0.25">
      <c r="A38" s="483"/>
      <c r="B38" s="483"/>
      <c r="C38" s="441"/>
      <c r="D38" s="441"/>
      <c r="E38" s="441"/>
      <c r="F38" s="442"/>
      <c r="G38" s="443"/>
      <c r="H38" s="443"/>
    </row>
    <row r="39" spans="1:8" s="220" customFormat="1" x14ac:dyDescent="0.25">
      <c r="A39" s="483"/>
      <c r="B39" s="483"/>
      <c r="C39" s="441"/>
      <c r="D39" s="441"/>
      <c r="E39" s="441"/>
      <c r="F39" s="442"/>
      <c r="G39" s="443"/>
      <c r="H39" s="443"/>
    </row>
    <row r="40" spans="1:8" s="220" customFormat="1" x14ac:dyDescent="0.25">
      <c r="A40" s="483"/>
      <c r="B40" s="483"/>
      <c r="C40" s="441"/>
      <c r="D40" s="441"/>
      <c r="E40" s="441"/>
      <c r="F40" s="442"/>
      <c r="G40" s="443"/>
      <c r="H40" s="443"/>
    </row>
    <row r="41" spans="1:8" x14ac:dyDescent="0.25">
      <c r="A41" s="423"/>
      <c r="B41" s="423"/>
      <c r="C41" s="424"/>
      <c r="D41" s="424"/>
      <c r="E41" s="424"/>
      <c r="F41" s="425"/>
      <c r="G41" s="426"/>
      <c r="H41" s="426"/>
    </row>
    <row r="42" spans="1:8" x14ac:dyDescent="0.25">
      <c r="A42" s="104"/>
      <c r="B42" s="104"/>
      <c r="C42" s="421"/>
      <c r="D42" s="421"/>
      <c r="E42" s="421"/>
      <c r="F42" s="422"/>
      <c r="G42" s="427"/>
      <c r="H42" s="427"/>
    </row>
    <row r="43" spans="1:8" x14ac:dyDescent="0.25">
      <c r="A43" s="104"/>
      <c r="B43" s="104"/>
      <c r="C43" s="421"/>
      <c r="D43" s="421"/>
      <c r="E43" s="421"/>
      <c r="F43" s="422"/>
      <c r="G43" s="427"/>
      <c r="H43" s="427"/>
    </row>
    <row r="44" spans="1:8" x14ac:dyDescent="0.25">
      <c r="A44" s="104"/>
      <c r="B44" s="104"/>
      <c r="C44" s="421"/>
      <c r="D44" s="421"/>
      <c r="E44" s="421"/>
      <c r="F44" s="422"/>
      <c r="G44" s="427"/>
      <c r="H44" s="104"/>
    </row>
    <row r="45" spans="1:8" x14ac:dyDescent="0.25">
      <c r="A45" s="104"/>
      <c r="B45" s="104"/>
      <c r="C45" s="421"/>
      <c r="D45" s="421"/>
      <c r="E45" s="421"/>
      <c r="F45" s="422"/>
      <c r="G45" s="427"/>
      <c r="H45" s="104"/>
    </row>
    <row r="46" spans="1:8" x14ac:dyDescent="0.25">
      <c r="A46" s="104"/>
      <c r="B46" s="104"/>
      <c r="C46" s="421"/>
      <c r="D46" s="421"/>
      <c r="E46" s="421"/>
      <c r="F46" s="422"/>
      <c r="G46" s="427"/>
      <c r="H46" s="104"/>
    </row>
    <row r="47" spans="1:8" x14ac:dyDescent="0.25">
      <c r="A47" s="104"/>
      <c r="B47" s="104"/>
      <c r="C47" s="421"/>
      <c r="D47" s="421"/>
      <c r="E47" s="421"/>
      <c r="F47" s="422"/>
      <c r="G47" s="427"/>
      <c r="H47" s="104"/>
    </row>
    <row r="48" spans="1:8" x14ac:dyDescent="0.25">
      <c r="A48" s="104"/>
      <c r="B48" s="104"/>
      <c r="C48" s="421"/>
      <c r="D48" s="421"/>
      <c r="E48" s="421"/>
      <c r="F48" s="422"/>
      <c r="G48" s="427"/>
      <c r="H48" s="104"/>
    </row>
    <row r="49" spans="1:8" x14ac:dyDescent="0.25">
      <c r="A49" s="104"/>
      <c r="B49" s="104"/>
      <c r="C49" s="421"/>
      <c r="D49" s="421"/>
      <c r="E49" s="421"/>
      <c r="F49" s="422"/>
      <c r="G49" s="427"/>
      <c r="H49" s="427"/>
    </row>
    <row r="50" spans="1:8" x14ac:dyDescent="0.25">
      <c r="A50" s="104"/>
      <c r="B50" s="104"/>
      <c r="C50" s="421"/>
      <c r="D50" s="421"/>
      <c r="E50" s="421"/>
      <c r="F50" s="422"/>
      <c r="G50" s="427"/>
      <c r="H50" s="427"/>
    </row>
    <row r="51" spans="1:8" x14ac:dyDescent="0.25">
      <c r="A51" s="104"/>
      <c r="B51" s="104"/>
      <c r="C51" s="421"/>
      <c r="D51" s="421"/>
      <c r="E51" s="421"/>
      <c r="F51" s="422"/>
      <c r="G51" s="427"/>
      <c r="H51" s="104"/>
    </row>
    <row r="52" spans="1:8" x14ac:dyDescent="0.25">
      <c r="A52" s="104"/>
      <c r="B52" s="104"/>
      <c r="C52" s="421"/>
      <c r="D52" s="421"/>
      <c r="E52" s="421"/>
      <c r="F52" s="422"/>
      <c r="G52" s="427"/>
      <c r="H52" s="427"/>
    </row>
    <row r="53" spans="1:8" x14ac:dyDescent="0.25">
      <c r="A53" s="104"/>
      <c r="B53" s="104"/>
      <c r="C53" s="421"/>
      <c r="D53" s="421"/>
      <c r="E53" s="421"/>
      <c r="F53" s="422"/>
      <c r="G53" s="427"/>
      <c r="H53" s="427"/>
    </row>
    <row r="54" spans="1:8" x14ac:dyDescent="0.25">
      <c r="A54" s="104"/>
      <c r="B54" s="104"/>
      <c r="C54" s="421"/>
      <c r="D54" s="421"/>
      <c r="E54" s="421"/>
      <c r="F54" s="422"/>
      <c r="G54" s="427"/>
      <c r="H54" s="427"/>
    </row>
    <row r="55" spans="1:8" x14ac:dyDescent="0.25">
      <c r="A55" s="104"/>
      <c r="B55" s="104"/>
      <c r="C55" s="421"/>
      <c r="D55" s="421"/>
      <c r="E55" s="421"/>
      <c r="F55" s="422"/>
      <c r="G55" s="427"/>
      <c r="H55" s="427"/>
    </row>
    <row r="56" spans="1:8" x14ac:dyDescent="0.25">
      <c r="E56" s="328">
        <f>SUM(E7:E55)</f>
        <v>0</v>
      </c>
    </row>
    <row r="57" spans="1:8" s="430" customFormat="1" x14ac:dyDescent="0.25">
      <c r="A57" s="428"/>
      <c r="B57" s="428"/>
      <c r="C57" s="429"/>
      <c r="D57" s="429"/>
      <c r="E57" s="451">
        <f>SUBTOTAL(9,E2:E5)</f>
        <v>1180</v>
      </c>
      <c r="G57" s="431"/>
      <c r="H57" s="431"/>
    </row>
  </sheetData>
  <autoFilter ref="B1:B56"/>
  <mergeCells count="5">
    <mergeCell ref="A2:A5"/>
    <mergeCell ref="H2:H5"/>
    <mergeCell ref="A7:A8"/>
    <mergeCell ref="G7:G8"/>
    <mergeCell ref="H7:H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C20" sqref="C20"/>
    </sheetView>
  </sheetViews>
  <sheetFormatPr defaultRowHeight="15" x14ac:dyDescent="0.25"/>
  <cols>
    <col min="1" max="1" width="10.5703125" style="428" customWidth="1"/>
    <col min="2" max="2" width="18" style="428" customWidth="1"/>
    <col min="3" max="3" width="10.28515625" style="429" customWidth="1"/>
    <col min="4" max="4" width="9.28515625" style="429" customWidth="1"/>
    <col min="5" max="5" width="15.42578125" style="429" customWidth="1"/>
    <col min="6" max="6" width="21.5703125" style="430" customWidth="1"/>
    <col min="7" max="7" width="19.7109375" style="431" customWidth="1"/>
    <col min="8" max="8" width="9.140625" style="431"/>
    <col min="9" max="16384" width="9.140625" style="164"/>
  </cols>
  <sheetData>
    <row r="1" spans="1:8" ht="31.5" customHeight="1" x14ac:dyDescent="0.25">
      <c r="A1" s="104" t="s">
        <v>117</v>
      </c>
      <c r="B1" s="104" t="s">
        <v>200</v>
      </c>
      <c r="C1" s="104" t="s">
        <v>119</v>
      </c>
      <c r="D1" s="104" t="s">
        <v>120</v>
      </c>
      <c r="E1" s="104" t="s">
        <v>121</v>
      </c>
      <c r="F1" s="104" t="s">
        <v>225</v>
      </c>
      <c r="G1" s="420" t="s">
        <v>226</v>
      </c>
      <c r="H1" s="420" t="s">
        <v>143</v>
      </c>
    </row>
    <row r="2" spans="1:8" ht="45.75" customHeight="1" x14ac:dyDescent="0.25">
      <c r="A2" s="338">
        <v>42153</v>
      </c>
      <c r="B2" s="338" t="s">
        <v>388</v>
      </c>
      <c r="C2" s="336">
        <v>5076</v>
      </c>
      <c r="D2" s="104">
        <v>1</v>
      </c>
      <c r="E2" s="449">
        <f t="shared" ref="E2:E6" si="0">C2*D2</f>
        <v>5076</v>
      </c>
      <c r="F2" s="422" t="s">
        <v>772</v>
      </c>
      <c r="G2" s="427" t="s">
        <v>773</v>
      </c>
      <c r="H2" s="104" t="s">
        <v>734</v>
      </c>
    </row>
    <row r="3" spans="1:8" ht="30" customHeight="1" x14ac:dyDescent="0.25">
      <c r="A3" s="713">
        <v>42319</v>
      </c>
      <c r="B3" s="338" t="s">
        <v>385</v>
      </c>
      <c r="C3" s="449">
        <v>207.5</v>
      </c>
      <c r="D3" s="104">
        <v>1</v>
      </c>
      <c r="E3" s="449">
        <f t="shared" si="0"/>
        <v>207.5</v>
      </c>
      <c r="F3" s="422" t="s">
        <v>778</v>
      </c>
      <c r="G3" s="714" t="s">
        <v>779</v>
      </c>
      <c r="H3" s="714" t="s">
        <v>733</v>
      </c>
    </row>
    <row r="4" spans="1:8" ht="30" x14ac:dyDescent="0.25">
      <c r="A4" s="713"/>
      <c r="B4" s="338" t="s">
        <v>385</v>
      </c>
      <c r="C4" s="449">
        <v>75.900000000000006</v>
      </c>
      <c r="D4" s="104">
        <v>1</v>
      </c>
      <c r="E4" s="449">
        <f t="shared" si="0"/>
        <v>75.900000000000006</v>
      </c>
      <c r="F4" s="422" t="s">
        <v>780</v>
      </c>
      <c r="G4" s="714"/>
      <c r="H4" s="714"/>
    </row>
    <row r="5" spans="1:8" ht="15" customHeight="1" x14ac:dyDescent="0.25">
      <c r="A5" s="713"/>
      <c r="B5" s="338" t="s">
        <v>385</v>
      </c>
      <c r="C5" s="449">
        <v>84.9</v>
      </c>
      <c r="D5" s="104">
        <v>1</v>
      </c>
      <c r="E5" s="449">
        <f t="shared" si="0"/>
        <v>84.9</v>
      </c>
      <c r="F5" s="422" t="s">
        <v>780</v>
      </c>
      <c r="G5" s="714"/>
      <c r="H5" s="714"/>
    </row>
    <row r="6" spans="1:8" ht="30" x14ac:dyDescent="0.25">
      <c r="A6" s="713"/>
      <c r="B6" s="338" t="s">
        <v>385</v>
      </c>
      <c r="C6" s="104">
        <v>11.64</v>
      </c>
      <c r="D6" s="104">
        <v>10</v>
      </c>
      <c r="E6" s="450">
        <f t="shared" si="0"/>
        <v>116.4</v>
      </c>
      <c r="F6" s="422" t="s">
        <v>780</v>
      </c>
      <c r="G6" s="714"/>
      <c r="H6" s="714"/>
    </row>
    <row r="7" spans="1:8" x14ac:dyDescent="0.25">
      <c r="A7" s="104"/>
      <c r="B7" s="104"/>
      <c r="C7" s="421"/>
      <c r="D7" s="421"/>
      <c r="E7" s="457">
        <f>SUM(E2:E6)</f>
        <v>5560.6999999999989</v>
      </c>
      <c r="F7" s="422"/>
      <c r="G7" s="714"/>
      <c r="H7" s="714"/>
    </row>
    <row r="8" spans="1:8" s="220" customFormat="1" x14ac:dyDescent="0.25">
      <c r="A8" s="440"/>
      <c r="B8" s="440"/>
      <c r="C8" s="441"/>
      <c r="D8" s="441"/>
      <c r="E8" s="475"/>
      <c r="F8" s="442"/>
      <c r="G8" s="440"/>
      <c r="H8" s="440"/>
    </row>
    <row r="9" spans="1:8" s="220" customFormat="1" x14ac:dyDescent="0.25">
      <c r="A9" s="711"/>
      <c r="B9" s="452"/>
      <c r="C9" s="453"/>
      <c r="D9" s="440"/>
      <c r="E9" s="454"/>
      <c r="F9" s="442"/>
      <c r="G9" s="712"/>
      <c r="H9" s="712"/>
    </row>
    <row r="10" spans="1:8" s="220" customFormat="1" x14ac:dyDescent="0.25">
      <c r="A10" s="711"/>
      <c r="B10" s="452"/>
      <c r="C10" s="454"/>
      <c r="D10" s="440"/>
      <c r="E10" s="454"/>
      <c r="F10" s="442"/>
      <c r="G10" s="712"/>
      <c r="H10" s="712"/>
    </row>
    <row r="11" spans="1:8" s="220" customFormat="1" x14ac:dyDescent="0.25">
      <c r="A11" s="455"/>
      <c r="B11" s="455"/>
      <c r="C11" s="454"/>
      <c r="D11" s="440"/>
      <c r="E11" s="454"/>
      <c r="F11" s="442"/>
      <c r="G11" s="443"/>
      <c r="H11" s="440"/>
    </row>
    <row r="12" spans="1:8" s="220" customFormat="1" x14ac:dyDescent="0.25">
      <c r="A12" s="455"/>
      <c r="B12" s="455"/>
      <c r="C12" s="454"/>
      <c r="D12" s="440"/>
      <c r="E12" s="454"/>
      <c r="F12" s="442"/>
      <c r="G12" s="443"/>
      <c r="H12" s="440"/>
    </row>
    <row r="13" spans="1:8" s="220" customFormat="1" x14ac:dyDescent="0.25">
      <c r="A13" s="455"/>
      <c r="B13" s="455"/>
      <c r="C13" s="454"/>
      <c r="D13" s="440"/>
      <c r="E13" s="456"/>
      <c r="F13" s="442"/>
      <c r="G13" s="443"/>
      <c r="H13" s="440"/>
    </row>
    <row r="14" spans="1:8" s="220" customFormat="1" x14ac:dyDescent="0.25">
      <c r="A14" s="455"/>
      <c r="B14" s="455"/>
      <c r="C14" s="454"/>
      <c r="D14" s="440"/>
      <c r="E14" s="454"/>
      <c r="F14" s="442"/>
      <c r="G14" s="443"/>
      <c r="H14" s="440"/>
    </row>
    <row r="15" spans="1:8" s="220" customFormat="1" x14ac:dyDescent="0.25">
      <c r="A15" s="455"/>
      <c r="B15" s="455"/>
      <c r="C15" s="454"/>
      <c r="D15" s="440"/>
      <c r="E15" s="454"/>
      <c r="F15" s="442"/>
      <c r="G15" s="443"/>
      <c r="H15" s="443"/>
    </row>
    <row r="16" spans="1:8" s="220" customFormat="1" x14ac:dyDescent="0.25">
      <c r="A16" s="440"/>
      <c r="B16" s="440"/>
      <c r="C16" s="440"/>
      <c r="D16" s="441"/>
      <c r="E16" s="174"/>
      <c r="F16" s="442"/>
      <c r="G16" s="443"/>
      <c r="H16" s="443"/>
    </row>
    <row r="17" spans="1:8" s="220" customFormat="1" x14ac:dyDescent="0.25">
      <c r="A17" s="440"/>
      <c r="B17" s="440"/>
      <c r="C17" s="440"/>
      <c r="D17" s="441"/>
      <c r="E17" s="174"/>
      <c r="F17" s="442"/>
      <c r="G17" s="443"/>
      <c r="H17" s="443"/>
    </row>
    <row r="18" spans="1:8" s="220" customFormat="1" x14ac:dyDescent="0.25">
      <c r="A18" s="440"/>
      <c r="B18" s="440"/>
      <c r="C18" s="440"/>
      <c r="D18" s="441"/>
      <c r="E18" s="441"/>
      <c r="F18" s="442"/>
      <c r="G18" s="443"/>
      <c r="H18" s="443"/>
    </row>
    <row r="19" spans="1:8" s="220" customFormat="1" x14ac:dyDescent="0.25">
      <c r="A19" s="440"/>
      <c r="B19" s="440"/>
      <c r="C19" s="440"/>
      <c r="D19" s="441"/>
      <c r="E19" s="441"/>
      <c r="F19" s="442"/>
      <c r="G19" s="443"/>
      <c r="H19" s="443"/>
    </row>
    <row r="20" spans="1:8" s="220" customFormat="1" x14ac:dyDescent="0.25">
      <c r="A20" s="440"/>
      <c r="B20" s="440"/>
      <c r="C20" s="440"/>
      <c r="D20" s="441"/>
      <c r="E20" s="441"/>
      <c r="F20" s="442"/>
      <c r="G20" s="443"/>
      <c r="H20" s="443"/>
    </row>
    <row r="21" spans="1:8" s="220" customFormat="1" x14ac:dyDescent="0.25">
      <c r="A21" s="440"/>
      <c r="B21" s="440"/>
      <c r="C21" s="440"/>
      <c r="D21" s="441"/>
      <c r="E21" s="441"/>
      <c r="F21" s="442"/>
      <c r="G21" s="443"/>
      <c r="H21" s="443"/>
    </row>
    <row r="22" spans="1:8" s="220" customFormat="1" x14ac:dyDescent="0.25">
      <c r="A22" s="440"/>
      <c r="B22" s="440"/>
      <c r="C22" s="441"/>
      <c r="D22" s="441"/>
      <c r="E22" s="441"/>
      <c r="F22" s="442"/>
      <c r="G22" s="443"/>
      <c r="H22" s="443"/>
    </row>
    <row r="23" spans="1:8" s="220" customFormat="1" x14ac:dyDescent="0.25">
      <c r="A23" s="440"/>
      <c r="B23" s="440"/>
      <c r="C23" s="441"/>
      <c r="D23" s="441"/>
      <c r="E23" s="441"/>
      <c r="F23" s="442"/>
      <c r="G23" s="443"/>
      <c r="H23" s="443"/>
    </row>
    <row r="24" spans="1:8" s="220" customFormat="1" x14ac:dyDescent="0.25">
      <c r="A24" s="440"/>
      <c r="B24" s="440"/>
      <c r="C24" s="441"/>
      <c r="D24" s="441"/>
      <c r="E24" s="441"/>
      <c r="F24" s="442"/>
      <c r="G24" s="443"/>
      <c r="H24" s="443"/>
    </row>
    <row r="25" spans="1:8" s="220" customFormat="1" x14ac:dyDescent="0.25">
      <c r="A25" s="440"/>
      <c r="B25" s="440"/>
      <c r="C25" s="441"/>
      <c r="D25" s="441"/>
      <c r="E25" s="441"/>
      <c r="F25" s="442"/>
      <c r="G25" s="443"/>
      <c r="H25" s="443"/>
    </row>
    <row r="26" spans="1:8" s="220" customFormat="1" x14ac:dyDescent="0.25">
      <c r="A26" s="440"/>
      <c r="B26" s="440"/>
      <c r="C26" s="441"/>
      <c r="D26" s="441"/>
      <c r="E26" s="441"/>
      <c r="F26" s="442"/>
      <c r="G26" s="443"/>
      <c r="H26" s="443"/>
    </row>
    <row r="27" spans="1:8" s="220" customFormat="1" x14ac:dyDescent="0.25">
      <c r="A27" s="440"/>
      <c r="B27" s="440"/>
      <c r="C27" s="441"/>
      <c r="D27" s="441"/>
      <c r="E27" s="441"/>
      <c r="F27" s="442"/>
      <c r="G27" s="443"/>
      <c r="H27" s="443"/>
    </row>
    <row r="28" spans="1:8" s="220" customFormat="1" x14ac:dyDescent="0.25">
      <c r="A28" s="440"/>
      <c r="B28" s="440"/>
      <c r="C28" s="441"/>
      <c r="D28" s="441"/>
      <c r="E28" s="441"/>
      <c r="F28" s="442"/>
      <c r="G28" s="443"/>
      <c r="H28" s="443"/>
    </row>
    <row r="29" spans="1:8" s="220" customFormat="1" x14ac:dyDescent="0.25">
      <c r="A29" s="440"/>
      <c r="B29" s="440"/>
      <c r="C29" s="441"/>
      <c r="D29" s="441"/>
      <c r="E29" s="441"/>
      <c r="F29" s="442"/>
      <c r="G29" s="443"/>
      <c r="H29" s="443"/>
    </row>
    <row r="30" spans="1:8" s="220" customFormat="1" ht="14.25" customHeight="1" x14ac:dyDescent="0.25">
      <c r="A30" s="440"/>
      <c r="B30" s="440"/>
      <c r="C30" s="441"/>
      <c r="D30" s="441"/>
      <c r="E30" s="441"/>
      <c r="F30" s="442"/>
      <c r="G30" s="443"/>
      <c r="H30" s="443"/>
    </row>
    <row r="31" spans="1:8" s="220" customFormat="1" x14ac:dyDescent="0.25">
      <c r="A31" s="440"/>
      <c r="B31" s="440"/>
      <c r="C31" s="441"/>
      <c r="D31" s="441"/>
      <c r="E31" s="441"/>
      <c r="F31" s="442"/>
      <c r="G31" s="443"/>
      <c r="H31" s="443"/>
    </row>
    <row r="32" spans="1:8" s="220" customFormat="1" x14ac:dyDescent="0.25">
      <c r="A32" s="440"/>
      <c r="B32" s="440"/>
      <c r="C32" s="441"/>
      <c r="D32" s="441"/>
      <c r="E32" s="441"/>
      <c r="F32" s="442"/>
      <c r="G32" s="443"/>
      <c r="H32" s="443"/>
    </row>
    <row r="33" spans="1:8" s="220" customFormat="1" x14ac:dyDescent="0.25">
      <c r="A33" s="440"/>
      <c r="B33" s="440"/>
      <c r="C33" s="441"/>
      <c r="D33" s="441"/>
      <c r="E33" s="441"/>
      <c r="F33" s="442"/>
      <c r="G33" s="443"/>
      <c r="H33" s="443"/>
    </row>
    <row r="34" spans="1:8" s="220" customFormat="1" x14ac:dyDescent="0.25">
      <c r="A34" s="440"/>
      <c r="B34" s="440"/>
      <c r="C34" s="441"/>
      <c r="D34" s="441"/>
      <c r="E34" s="441"/>
      <c r="F34" s="442"/>
      <c r="G34" s="443"/>
      <c r="H34" s="443"/>
    </row>
    <row r="35" spans="1:8" s="220" customFormat="1" x14ac:dyDescent="0.25">
      <c r="A35" s="440"/>
      <c r="B35" s="440"/>
      <c r="C35" s="441"/>
      <c r="D35" s="441"/>
      <c r="E35" s="441"/>
      <c r="F35" s="442"/>
      <c r="G35" s="443"/>
      <c r="H35" s="443"/>
    </row>
    <row r="36" spans="1:8" s="220" customFormat="1" x14ac:dyDescent="0.25">
      <c r="A36" s="440"/>
      <c r="B36" s="440"/>
      <c r="C36" s="441"/>
      <c r="D36" s="441"/>
      <c r="E36" s="441"/>
      <c r="F36" s="442"/>
      <c r="G36" s="443"/>
      <c r="H36" s="443"/>
    </row>
    <row r="37" spans="1:8" s="220" customFormat="1" x14ac:dyDescent="0.25">
      <c r="A37" s="440"/>
      <c r="B37" s="440"/>
      <c r="C37" s="441"/>
      <c r="D37" s="441"/>
      <c r="E37" s="441"/>
      <c r="F37" s="442"/>
      <c r="G37" s="443"/>
      <c r="H37" s="443"/>
    </row>
    <row r="38" spans="1:8" s="220" customFormat="1" x14ac:dyDescent="0.25">
      <c r="A38" s="440"/>
      <c r="B38" s="440"/>
      <c r="C38" s="441"/>
      <c r="D38" s="441"/>
      <c r="E38" s="441"/>
      <c r="F38" s="442"/>
      <c r="G38" s="443"/>
      <c r="H38" s="443"/>
    </row>
    <row r="39" spans="1:8" s="220" customFormat="1" x14ac:dyDescent="0.25">
      <c r="A39" s="440"/>
      <c r="B39" s="440"/>
      <c r="C39" s="441"/>
      <c r="D39" s="441"/>
      <c r="E39" s="441"/>
      <c r="F39" s="442"/>
      <c r="G39" s="443"/>
      <c r="H39" s="443"/>
    </row>
    <row r="40" spans="1:8" s="220" customFormat="1" x14ac:dyDescent="0.25">
      <c r="A40" s="440"/>
      <c r="B40" s="440"/>
      <c r="C40" s="441"/>
      <c r="D40" s="441"/>
      <c r="E40" s="441"/>
      <c r="F40" s="442"/>
      <c r="G40" s="443"/>
      <c r="H40" s="443"/>
    </row>
    <row r="41" spans="1:8" s="220" customFormat="1" x14ac:dyDescent="0.25">
      <c r="A41" s="440"/>
      <c r="B41" s="440"/>
      <c r="C41" s="441"/>
      <c r="D41" s="441"/>
      <c r="E41" s="441"/>
      <c r="F41" s="442"/>
      <c r="G41" s="443"/>
      <c r="H41" s="443"/>
    </row>
    <row r="42" spans="1:8" s="220" customFormat="1" x14ac:dyDescent="0.25">
      <c r="A42" s="440"/>
      <c r="B42" s="440"/>
      <c r="C42" s="441"/>
      <c r="D42" s="441"/>
      <c r="E42" s="441"/>
      <c r="F42" s="442"/>
      <c r="G42" s="443"/>
      <c r="H42" s="443"/>
    </row>
    <row r="43" spans="1:8" s="220" customFormat="1" x14ac:dyDescent="0.25">
      <c r="A43" s="440"/>
      <c r="B43" s="440"/>
      <c r="C43" s="441"/>
      <c r="D43" s="441"/>
      <c r="E43" s="441"/>
      <c r="F43" s="442"/>
      <c r="G43" s="443"/>
      <c r="H43" s="443"/>
    </row>
    <row r="44" spans="1:8" s="220" customFormat="1" x14ac:dyDescent="0.25">
      <c r="A44" s="440"/>
      <c r="B44" s="440"/>
      <c r="C44" s="441"/>
      <c r="D44" s="441"/>
      <c r="E44" s="441"/>
      <c r="F44" s="442"/>
      <c r="G44" s="443"/>
      <c r="H44" s="443"/>
    </row>
    <row r="45" spans="1:8" s="220" customFormat="1" x14ac:dyDescent="0.25">
      <c r="A45" s="440"/>
      <c r="B45" s="440"/>
      <c r="C45" s="441"/>
      <c r="D45" s="441"/>
      <c r="E45" s="441"/>
      <c r="F45" s="442"/>
      <c r="G45" s="443"/>
      <c r="H45" s="443"/>
    </row>
    <row r="46" spans="1:8" s="220" customFormat="1" x14ac:dyDescent="0.25">
      <c r="A46" s="440"/>
      <c r="B46" s="440"/>
      <c r="C46" s="441"/>
      <c r="D46" s="441"/>
      <c r="E46" s="441"/>
      <c r="F46" s="442"/>
      <c r="G46" s="443"/>
      <c r="H46" s="443"/>
    </row>
    <row r="47" spans="1:8" s="220" customFormat="1" x14ac:dyDescent="0.25">
      <c r="A47" s="440"/>
      <c r="B47" s="440"/>
      <c r="C47" s="441"/>
      <c r="D47" s="441"/>
      <c r="E47" s="441"/>
      <c r="F47" s="442"/>
      <c r="G47" s="443"/>
      <c r="H47" s="443"/>
    </row>
    <row r="48" spans="1:8" s="220" customFormat="1" x14ac:dyDescent="0.25">
      <c r="A48" s="440"/>
      <c r="B48" s="440"/>
      <c r="C48" s="441"/>
      <c r="D48" s="441"/>
      <c r="E48" s="441"/>
      <c r="F48" s="442"/>
      <c r="G48" s="443"/>
      <c r="H48" s="443"/>
    </row>
    <row r="49" spans="1:8" s="220" customFormat="1" x14ac:dyDescent="0.25">
      <c r="A49" s="440"/>
      <c r="B49" s="440"/>
      <c r="C49" s="441"/>
      <c r="D49" s="441"/>
      <c r="E49" s="441"/>
      <c r="F49" s="442"/>
      <c r="G49" s="443"/>
      <c r="H49" s="443"/>
    </row>
    <row r="50" spans="1:8" s="220" customFormat="1" x14ac:dyDescent="0.25">
      <c r="A50" s="440"/>
      <c r="B50" s="440"/>
      <c r="C50" s="441"/>
      <c r="D50" s="441"/>
      <c r="E50" s="441"/>
      <c r="F50" s="442"/>
      <c r="G50" s="443"/>
      <c r="H50" s="443"/>
    </row>
    <row r="51" spans="1:8" s="220" customFormat="1" x14ac:dyDescent="0.25">
      <c r="A51" s="440"/>
      <c r="B51" s="440"/>
      <c r="C51" s="441"/>
      <c r="D51" s="441"/>
      <c r="E51" s="441"/>
      <c r="F51" s="442"/>
      <c r="G51" s="443"/>
      <c r="H51" s="443"/>
    </row>
    <row r="52" spans="1:8" s="220" customFormat="1" ht="15" customHeight="1" x14ac:dyDescent="0.25">
      <c r="A52" s="440"/>
      <c r="B52" s="440"/>
      <c r="C52" s="441"/>
      <c r="D52" s="441"/>
      <c r="E52" s="441"/>
      <c r="F52" s="442"/>
      <c r="G52" s="443"/>
      <c r="H52" s="443"/>
    </row>
    <row r="53" spans="1:8" s="220" customFormat="1" x14ac:dyDescent="0.25">
      <c r="A53" s="440"/>
      <c r="B53" s="440"/>
      <c r="C53" s="441"/>
      <c r="D53" s="441"/>
      <c r="E53" s="441"/>
      <c r="F53" s="442"/>
      <c r="G53" s="443"/>
      <c r="H53" s="443"/>
    </row>
    <row r="54" spans="1:8" s="220" customFormat="1" x14ac:dyDescent="0.25">
      <c r="A54" s="440"/>
      <c r="B54" s="440"/>
      <c r="C54" s="441"/>
      <c r="D54" s="441"/>
      <c r="E54" s="441"/>
      <c r="F54" s="442"/>
      <c r="G54" s="443"/>
      <c r="H54" s="443"/>
    </row>
    <row r="55" spans="1:8" s="220" customFormat="1" x14ac:dyDescent="0.25">
      <c r="A55" s="440"/>
      <c r="B55" s="440"/>
      <c r="C55" s="441"/>
      <c r="D55" s="441"/>
      <c r="E55" s="441"/>
      <c r="F55" s="442"/>
      <c r="G55" s="443"/>
      <c r="H55" s="443"/>
    </row>
    <row r="56" spans="1:8" s="220" customFormat="1" x14ac:dyDescent="0.25">
      <c r="A56" s="440"/>
      <c r="B56" s="440"/>
      <c r="C56" s="441"/>
      <c r="D56" s="441"/>
      <c r="E56" s="441"/>
      <c r="F56" s="442"/>
      <c r="G56" s="443"/>
      <c r="H56" s="443"/>
    </row>
    <row r="57" spans="1:8" s="220" customFormat="1" x14ac:dyDescent="0.25">
      <c r="A57" s="440"/>
      <c r="B57" s="440"/>
      <c r="C57" s="441"/>
      <c r="D57" s="441"/>
      <c r="E57" s="441"/>
      <c r="F57" s="442"/>
      <c r="G57" s="443"/>
      <c r="H57" s="443"/>
    </row>
    <row r="58" spans="1:8" x14ac:dyDescent="0.25">
      <c r="A58" s="423"/>
      <c r="B58" s="423"/>
      <c r="C58" s="424"/>
      <c r="D58" s="424"/>
      <c r="E58" s="424"/>
      <c r="F58" s="425"/>
      <c r="G58" s="426"/>
      <c r="H58" s="426"/>
    </row>
    <row r="59" spans="1:8" x14ac:dyDescent="0.25">
      <c r="A59" s="104"/>
      <c r="B59" s="104"/>
      <c r="C59" s="421"/>
      <c r="D59" s="421"/>
      <c r="E59" s="421"/>
      <c r="F59" s="422"/>
      <c r="G59" s="427"/>
      <c r="H59" s="427"/>
    </row>
    <row r="60" spans="1:8" x14ac:dyDescent="0.25">
      <c r="A60" s="104"/>
      <c r="B60" s="104"/>
      <c r="C60" s="421"/>
      <c r="D60" s="421"/>
      <c r="E60" s="421"/>
      <c r="F60" s="422"/>
      <c r="G60" s="427"/>
      <c r="H60" s="427"/>
    </row>
    <row r="61" spans="1:8" x14ac:dyDescent="0.25">
      <c r="A61" s="104"/>
      <c r="B61" s="104"/>
      <c r="C61" s="421"/>
      <c r="D61" s="421"/>
      <c r="E61" s="421"/>
      <c r="F61" s="422"/>
      <c r="G61" s="427"/>
      <c r="H61" s="104"/>
    </row>
    <row r="62" spans="1:8" x14ac:dyDescent="0.25">
      <c r="A62" s="104"/>
      <c r="B62" s="104"/>
      <c r="C62" s="421"/>
      <c r="D62" s="421"/>
      <c r="E62" s="421"/>
      <c r="F62" s="422"/>
      <c r="G62" s="427"/>
      <c r="H62" s="104"/>
    </row>
    <row r="63" spans="1:8" x14ac:dyDescent="0.25">
      <c r="A63" s="104"/>
      <c r="B63" s="104"/>
      <c r="C63" s="421"/>
      <c r="D63" s="421"/>
      <c r="E63" s="421"/>
      <c r="F63" s="422"/>
      <c r="G63" s="427"/>
      <c r="H63" s="104"/>
    </row>
    <row r="64" spans="1:8" x14ac:dyDescent="0.25">
      <c r="A64" s="104"/>
      <c r="B64" s="104"/>
      <c r="C64" s="421"/>
      <c r="D64" s="421"/>
      <c r="E64" s="421"/>
      <c r="F64" s="422"/>
      <c r="G64" s="427"/>
      <c r="H64" s="104"/>
    </row>
    <row r="65" spans="1:8" x14ac:dyDescent="0.25">
      <c r="A65" s="104"/>
      <c r="B65" s="104"/>
      <c r="C65" s="421"/>
      <c r="D65" s="421"/>
      <c r="E65" s="421"/>
      <c r="F65" s="422"/>
      <c r="G65" s="427"/>
      <c r="H65" s="104"/>
    </row>
    <row r="66" spans="1:8" x14ac:dyDescent="0.25">
      <c r="A66" s="104"/>
      <c r="B66" s="104"/>
      <c r="C66" s="421"/>
      <c r="D66" s="421"/>
      <c r="E66" s="421"/>
      <c r="F66" s="422"/>
      <c r="G66" s="427"/>
      <c r="H66" s="427"/>
    </row>
    <row r="67" spans="1:8" x14ac:dyDescent="0.25">
      <c r="A67" s="104"/>
      <c r="B67" s="104"/>
      <c r="C67" s="421"/>
      <c r="D67" s="421"/>
      <c r="E67" s="421"/>
      <c r="F67" s="422"/>
      <c r="G67" s="427"/>
      <c r="H67" s="427"/>
    </row>
    <row r="68" spans="1:8" x14ac:dyDescent="0.25">
      <c r="A68" s="104"/>
      <c r="B68" s="104"/>
      <c r="C68" s="421"/>
      <c r="D68" s="421"/>
      <c r="E68" s="421"/>
      <c r="F68" s="422"/>
      <c r="G68" s="427"/>
      <c r="H68" s="104"/>
    </row>
    <row r="69" spans="1:8" x14ac:dyDescent="0.25">
      <c r="A69" s="104"/>
      <c r="B69" s="104"/>
      <c r="C69" s="421"/>
      <c r="D69" s="421"/>
      <c r="E69" s="421"/>
      <c r="F69" s="422"/>
      <c r="G69" s="427"/>
      <c r="H69" s="427"/>
    </row>
    <row r="70" spans="1:8" x14ac:dyDescent="0.25">
      <c r="A70" s="104"/>
      <c r="B70" s="104"/>
      <c r="C70" s="421"/>
      <c r="D70" s="421"/>
      <c r="E70" s="421"/>
      <c r="F70" s="422"/>
      <c r="G70" s="427"/>
      <c r="H70" s="427"/>
    </row>
    <row r="71" spans="1:8" x14ac:dyDescent="0.25">
      <c r="A71" s="104"/>
      <c r="B71" s="104"/>
      <c r="C71" s="421"/>
      <c r="D71" s="421"/>
      <c r="E71" s="421"/>
      <c r="F71" s="422"/>
      <c r="G71" s="427"/>
      <c r="H71" s="427"/>
    </row>
    <row r="72" spans="1:8" x14ac:dyDescent="0.25">
      <c r="A72" s="104"/>
      <c r="B72" s="104"/>
      <c r="C72" s="421"/>
      <c r="D72" s="421"/>
      <c r="E72" s="421"/>
      <c r="F72" s="422"/>
      <c r="G72" s="427"/>
      <c r="H72" s="427"/>
    </row>
    <row r="73" spans="1:8" x14ac:dyDescent="0.25">
      <c r="E73" s="328">
        <f>SUM(E9:E72)</f>
        <v>0</v>
      </c>
    </row>
    <row r="74" spans="1:8" s="430" customFormat="1" x14ac:dyDescent="0.25">
      <c r="A74" s="428"/>
      <c r="B74" s="428"/>
      <c r="C74" s="429"/>
      <c r="D74" s="429"/>
      <c r="E74" s="451">
        <f>SUBTOTAL(9,E2:E6)</f>
        <v>5560.6999999999989</v>
      </c>
      <c r="G74" s="431"/>
      <c r="H74" s="431"/>
    </row>
  </sheetData>
  <autoFilter ref="B1:B73"/>
  <mergeCells count="6">
    <mergeCell ref="A9:A10"/>
    <mergeCell ref="G9:G10"/>
    <mergeCell ref="H9:H10"/>
    <mergeCell ref="A3:A6"/>
    <mergeCell ref="G3:G7"/>
    <mergeCell ref="H3:H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94"/>
  <sheetViews>
    <sheetView tabSelected="1" zoomScaleNormal="100" workbookViewId="0">
      <selection activeCell="B99" sqref="B99"/>
    </sheetView>
  </sheetViews>
  <sheetFormatPr defaultRowHeight="15.75" x14ac:dyDescent="0.25"/>
  <cols>
    <col min="1" max="1" width="9.7109375" style="549" customWidth="1"/>
    <col min="2" max="2" width="41.28515625" style="514" customWidth="1"/>
    <col min="3" max="3" width="9.5703125" style="515" hidden="1" customWidth="1"/>
    <col min="4" max="4" width="10.140625" style="516" hidden="1" customWidth="1"/>
    <col min="5" max="5" width="9.28515625" style="515" hidden="1" customWidth="1"/>
    <col min="6" max="6" width="9.7109375" style="515" hidden="1" customWidth="1"/>
    <col min="7" max="7" width="8.28515625" style="515" hidden="1" customWidth="1"/>
    <col min="8" max="8" width="10.28515625" style="515" hidden="1" customWidth="1"/>
    <col min="9" max="9" width="8.85546875" style="515" hidden="1" customWidth="1"/>
    <col min="10" max="10" width="9.85546875" style="515" hidden="1" customWidth="1"/>
    <col min="11" max="11" width="22.140625" style="517" customWidth="1"/>
    <col min="12" max="14" width="11.7109375" style="518" hidden="1" customWidth="1"/>
    <col min="15" max="15" width="22.140625" style="518" customWidth="1"/>
    <col min="16" max="16" width="18.85546875" style="519" customWidth="1"/>
    <col min="17" max="16384" width="9.140625" style="520"/>
  </cols>
  <sheetData>
    <row r="1" spans="1:16" x14ac:dyDescent="0.25">
      <c r="A1" s="513"/>
    </row>
    <row r="2" spans="1:16" s="521" customFormat="1" ht="18.75" customHeight="1" x14ac:dyDescent="0.25">
      <c r="A2" s="625" t="s">
        <v>116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</row>
    <row r="3" spans="1:16" ht="37.5" customHeight="1" x14ac:dyDescent="0.25">
      <c r="A3" s="522" t="s">
        <v>12</v>
      </c>
      <c r="B3" s="523" t="s">
        <v>7</v>
      </c>
      <c r="C3" s="626" t="s">
        <v>9</v>
      </c>
      <c r="D3" s="627"/>
      <c r="E3" s="628" t="s">
        <v>10</v>
      </c>
      <c r="F3" s="628"/>
      <c r="G3" s="628" t="s">
        <v>11</v>
      </c>
      <c r="H3" s="628"/>
      <c r="I3" s="629" t="s">
        <v>58</v>
      </c>
      <c r="J3" s="630"/>
      <c r="K3" s="523" t="s">
        <v>782</v>
      </c>
      <c r="L3" s="631" t="s">
        <v>70</v>
      </c>
      <c r="M3" s="631" t="s">
        <v>71</v>
      </c>
      <c r="N3" s="631" t="s">
        <v>72</v>
      </c>
      <c r="O3" s="524" t="s">
        <v>783</v>
      </c>
      <c r="P3" s="525" t="s">
        <v>784</v>
      </c>
    </row>
    <row r="4" spans="1:16" ht="12" hidden="1" customHeight="1" x14ac:dyDescent="0.25">
      <c r="A4" s="526"/>
      <c r="B4" s="527"/>
      <c r="C4" s="634">
        <v>6414.1</v>
      </c>
      <c r="D4" s="635"/>
      <c r="E4" s="619">
        <v>6387.7</v>
      </c>
      <c r="F4" s="620"/>
      <c r="G4" s="619">
        <v>6497.32</v>
      </c>
      <c r="H4" s="620"/>
      <c r="I4" s="619">
        <v>24004.01</v>
      </c>
      <c r="J4" s="620"/>
      <c r="K4" s="527"/>
      <c r="L4" s="632"/>
      <c r="M4" s="632"/>
      <c r="N4" s="632"/>
      <c r="O4" s="528"/>
      <c r="P4" s="529"/>
    </row>
    <row r="5" spans="1:16" ht="12" hidden="1" customHeight="1" x14ac:dyDescent="0.25">
      <c r="A5" s="526"/>
      <c r="B5" s="527"/>
      <c r="C5" s="634">
        <f>C4+E4+G4</f>
        <v>19299.12</v>
      </c>
      <c r="D5" s="636"/>
      <c r="E5" s="636"/>
      <c r="F5" s="636"/>
      <c r="G5" s="636"/>
      <c r="H5" s="635"/>
      <c r="I5" s="530"/>
      <c r="J5" s="531"/>
      <c r="K5" s="527"/>
      <c r="L5" s="632"/>
      <c r="M5" s="632"/>
      <c r="N5" s="632"/>
      <c r="O5" s="528"/>
      <c r="P5" s="529"/>
    </row>
    <row r="6" spans="1:16" ht="12" hidden="1" customHeight="1" x14ac:dyDescent="0.25">
      <c r="A6" s="526"/>
      <c r="B6" s="527"/>
      <c r="C6" s="634">
        <f>C5+I4</f>
        <v>43303.13</v>
      </c>
      <c r="D6" s="636"/>
      <c r="E6" s="636"/>
      <c r="F6" s="636"/>
      <c r="G6" s="636"/>
      <c r="H6" s="635"/>
      <c r="I6" s="530"/>
      <c r="J6" s="531"/>
      <c r="K6" s="527"/>
      <c r="L6" s="632"/>
      <c r="M6" s="632"/>
      <c r="N6" s="632"/>
      <c r="O6" s="528"/>
      <c r="P6" s="529"/>
    </row>
    <row r="7" spans="1:16" ht="66" hidden="1" x14ac:dyDescent="0.25">
      <c r="A7" s="526"/>
      <c r="B7" s="532"/>
      <c r="C7" s="533" t="s">
        <v>787</v>
      </c>
      <c r="D7" s="534" t="s">
        <v>8</v>
      </c>
      <c r="E7" s="533" t="s">
        <v>787</v>
      </c>
      <c r="F7" s="534" t="s">
        <v>8</v>
      </c>
      <c r="G7" s="533" t="s">
        <v>787</v>
      </c>
      <c r="H7" s="534" t="s">
        <v>8</v>
      </c>
      <c r="I7" s="533" t="s">
        <v>787</v>
      </c>
      <c r="J7" s="534" t="s">
        <v>8</v>
      </c>
      <c r="K7" s="532"/>
      <c r="L7" s="633"/>
      <c r="M7" s="633"/>
      <c r="N7" s="633"/>
      <c r="O7" s="535"/>
      <c r="P7" s="536"/>
    </row>
    <row r="8" spans="1:16" ht="12" hidden="1" customHeight="1" x14ac:dyDescent="0.25">
      <c r="A8" s="537"/>
      <c r="B8" s="538">
        <v>1</v>
      </c>
      <c r="C8" s="539">
        <v>2</v>
      </c>
      <c r="D8" s="539">
        <v>3</v>
      </c>
      <c r="E8" s="539">
        <v>4</v>
      </c>
      <c r="F8" s="539">
        <v>5</v>
      </c>
      <c r="G8" s="539">
        <v>6</v>
      </c>
      <c r="H8" s="539">
        <v>7</v>
      </c>
      <c r="I8" s="539">
        <v>8</v>
      </c>
      <c r="J8" s="539">
        <v>9</v>
      </c>
      <c r="K8" s="538">
        <v>10</v>
      </c>
      <c r="L8" s="538">
        <v>11</v>
      </c>
      <c r="M8" s="540">
        <v>12</v>
      </c>
      <c r="N8" s="540">
        <v>13</v>
      </c>
      <c r="O8" s="540">
        <v>14</v>
      </c>
      <c r="P8" s="541" t="s">
        <v>69</v>
      </c>
    </row>
    <row r="9" spans="1:16" s="548" customFormat="1" x14ac:dyDescent="0.25">
      <c r="A9" s="542" t="s">
        <v>13</v>
      </c>
      <c r="B9" s="543" t="s">
        <v>0</v>
      </c>
      <c r="C9" s="544">
        <f t="shared" ref="C9:J9" si="0">SUM(C10:C12)</f>
        <v>0.45999999999999996</v>
      </c>
      <c r="D9" s="545">
        <f t="shared" si="0"/>
        <v>35405.831999999995</v>
      </c>
      <c r="E9" s="545">
        <f t="shared" si="0"/>
        <v>0.45999999999999996</v>
      </c>
      <c r="F9" s="545">
        <f t="shared" si="0"/>
        <v>35260.103999999999</v>
      </c>
      <c r="G9" s="544">
        <f t="shared" si="0"/>
        <v>0.45999999999999996</v>
      </c>
      <c r="H9" s="545">
        <f t="shared" si="0"/>
        <v>35865.206399999995</v>
      </c>
      <c r="I9" s="544">
        <f t="shared" si="0"/>
        <v>0.45999999999999996</v>
      </c>
      <c r="J9" s="545">
        <f t="shared" si="0"/>
        <v>99376.601399999985</v>
      </c>
      <c r="K9" s="546">
        <f>D9+F9+H9+J9</f>
        <v>205907.74379999997</v>
      </c>
      <c r="L9" s="546">
        <f>SUM(L10:L12)</f>
        <v>183760</v>
      </c>
      <c r="M9" s="546">
        <f t="shared" ref="M9:N9" si="1">SUM(M10:M12)</f>
        <v>8857.2170887208376</v>
      </c>
      <c r="N9" s="546">
        <f t="shared" si="1"/>
        <v>7000.0100324643045</v>
      </c>
      <c r="O9" s="546">
        <f>L9+M9+N9</f>
        <v>199617.22712118516</v>
      </c>
      <c r="P9" s="547">
        <f>SUM(P10:P12)</f>
        <v>6290.516678814849</v>
      </c>
    </row>
    <row r="10" spans="1:16" ht="31.5" x14ac:dyDescent="0.25">
      <c r="A10" s="549" t="s">
        <v>45</v>
      </c>
      <c r="B10" s="550" t="s">
        <v>34</v>
      </c>
      <c r="C10" s="551">
        <v>0.03</v>
      </c>
      <c r="D10" s="552">
        <f>C10*12*$C$4</f>
        <v>2309.076</v>
      </c>
      <c r="E10" s="552">
        <v>0.02</v>
      </c>
      <c r="F10" s="552">
        <f>E10*12*$E$4</f>
        <v>1533.048</v>
      </c>
      <c r="G10" s="552">
        <v>0.02</v>
      </c>
      <c r="H10" s="552">
        <f>G10*12*$G$4</f>
        <v>1559.3567999999998</v>
      </c>
      <c r="I10" s="552">
        <v>0.02</v>
      </c>
      <c r="J10" s="552">
        <f>I10*9*$I$4</f>
        <v>4320.7217999999993</v>
      </c>
      <c r="K10" s="553">
        <f t="shared" ref="K10:K19" si="2">D10+F10+H10+J10</f>
        <v>9722.2025999999987</v>
      </c>
      <c r="L10" s="553"/>
      <c r="M10" s="553">
        <f>'Затраты 88, 90, 92'!L6+'Затраты 86'!L2</f>
        <v>7297.2199999999993</v>
      </c>
      <c r="N10" s="553"/>
      <c r="O10" s="553">
        <f>L10+M10+N10</f>
        <v>7297.2199999999993</v>
      </c>
      <c r="P10" s="554">
        <f t="shared" ref="P10:P60" si="3">K10-O10</f>
        <v>2424.9825999999994</v>
      </c>
    </row>
    <row r="11" spans="1:16" ht="31.5" x14ac:dyDescent="0.25">
      <c r="A11" s="549" t="s">
        <v>19</v>
      </c>
      <c r="B11" s="550" t="s">
        <v>35</v>
      </c>
      <c r="C11" s="551">
        <v>0.08</v>
      </c>
      <c r="D11" s="552">
        <f>C11*12*$C$4</f>
        <v>6157.5360000000001</v>
      </c>
      <c r="E11" s="552">
        <v>0.08</v>
      </c>
      <c r="F11" s="552">
        <f>E11*12*$E$4</f>
        <v>6132.192</v>
      </c>
      <c r="G11" s="552">
        <v>0.08</v>
      </c>
      <c r="H11" s="552">
        <f>G11*12*$G$4</f>
        <v>6237.4271999999992</v>
      </c>
      <c r="I11" s="552">
        <v>0.08</v>
      </c>
      <c r="J11" s="552">
        <f>I11*9*$I$4</f>
        <v>17282.887199999997</v>
      </c>
      <c r="K11" s="553">
        <f t="shared" si="2"/>
        <v>35810.042399999991</v>
      </c>
      <c r="M11" s="553">
        <f>'Смета 2015 88,90,92'!M11+'Смета 2015 86'!M11</f>
        <v>1559.9970887208383</v>
      </c>
      <c r="N11" s="553">
        <f>'Смета 2015 88,90,92'!N11+'Смета 2015 86'!N11</f>
        <v>7000.0100324643045</v>
      </c>
      <c r="O11" s="553">
        <f>L11+M11+N11</f>
        <v>8560.0071211851428</v>
      </c>
      <c r="P11" s="554">
        <f t="shared" si="3"/>
        <v>27250.035278814848</v>
      </c>
    </row>
    <row r="12" spans="1:16" x14ac:dyDescent="0.25">
      <c r="A12" s="549" t="s">
        <v>39</v>
      </c>
      <c r="B12" s="550" t="s">
        <v>20</v>
      </c>
      <c r="C12" s="551">
        <v>0.35</v>
      </c>
      <c r="D12" s="552">
        <f>C12*12*$C$4</f>
        <v>26939.219999999998</v>
      </c>
      <c r="E12" s="552">
        <v>0.36</v>
      </c>
      <c r="F12" s="552">
        <f>E12*12*$E$4</f>
        <v>27594.864000000001</v>
      </c>
      <c r="G12" s="552">
        <v>0.36</v>
      </c>
      <c r="H12" s="552">
        <f>G12*12*$G$4</f>
        <v>28068.422399999999</v>
      </c>
      <c r="I12" s="552">
        <v>0.36</v>
      </c>
      <c r="J12" s="552">
        <f>I12*9*$I$4</f>
        <v>77772.992399999988</v>
      </c>
      <c r="K12" s="553">
        <f t="shared" si="2"/>
        <v>160375.4988</v>
      </c>
      <c r="L12" s="553">
        <f>'Смета 2015 88,90,92'!L12+'Смета 2015 86'!L12</f>
        <v>183760</v>
      </c>
      <c r="M12" s="553"/>
      <c r="N12" s="553"/>
      <c r="O12" s="553">
        <f>L12+M12+N12</f>
        <v>183760</v>
      </c>
      <c r="P12" s="554">
        <f t="shared" si="3"/>
        <v>-23384.501199999999</v>
      </c>
    </row>
    <row r="13" spans="1:16" s="548" customFormat="1" x14ac:dyDescent="0.25">
      <c r="A13" s="542" t="s">
        <v>14</v>
      </c>
      <c r="B13" s="543" t="s">
        <v>1</v>
      </c>
      <c r="C13" s="544">
        <f>SUM(C14:C19)</f>
        <v>0.59000000000000008</v>
      </c>
      <c r="D13" s="545">
        <f>SUM(D14:D21)</f>
        <v>45411.828000000001</v>
      </c>
      <c r="E13" s="545">
        <f>SUM(E14:E19)</f>
        <v>0.59000000000000008</v>
      </c>
      <c r="F13" s="545">
        <f>SUM(F14:F21)</f>
        <v>45224.916000000005</v>
      </c>
      <c r="G13" s="545">
        <f>SUM(G14:G19)</f>
        <v>0.59000000000000008</v>
      </c>
      <c r="H13" s="545">
        <f>SUM(H14:H21)</f>
        <v>46001.025599999994</v>
      </c>
      <c r="I13" s="545">
        <f>SUM(I14:I19)</f>
        <v>0.59000000000000008</v>
      </c>
      <c r="J13" s="545">
        <f>SUM(J14:J21)</f>
        <v>127461.2931</v>
      </c>
      <c r="K13" s="546">
        <f>SUM(K14:K21)</f>
        <v>264099.06269999995</v>
      </c>
      <c r="L13" s="546">
        <f>SUM(L14:L21)</f>
        <v>235060</v>
      </c>
      <c r="M13" s="546">
        <f t="shared" ref="M13:N13" si="4">SUM(M14:M21)</f>
        <v>226668.35251929145</v>
      </c>
      <c r="N13" s="546">
        <f t="shared" si="4"/>
        <v>13934.13</v>
      </c>
      <c r="O13" s="546">
        <f>SUM(O14:O21)</f>
        <v>475662.48251929146</v>
      </c>
      <c r="P13" s="547">
        <f>SUM(P14:P21)</f>
        <v>-211563.41981929151</v>
      </c>
    </row>
    <row r="14" spans="1:16" x14ac:dyDescent="0.25">
      <c r="A14" s="549" t="s">
        <v>46</v>
      </c>
      <c r="B14" s="555" t="s">
        <v>42</v>
      </c>
      <c r="C14" s="556">
        <v>0.03</v>
      </c>
      <c r="D14" s="552">
        <f t="shared" ref="D14:D19" si="5">C14*12*$C$4</f>
        <v>2309.076</v>
      </c>
      <c r="E14" s="552">
        <v>0.03</v>
      </c>
      <c r="F14" s="552">
        <f t="shared" ref="F14:F19" si="6">E14*12*$E$4</f>
        <v>2299.5719999999997</v>
      </c>
      <c r="G14" s="552">
        <v>0.03</v>
      </c>
      <c r="H14" s="552">
        <f t="shared" ref="H14:H19" si="7">G14*12*$G$4</f>
        <v>2339.0351999999998</v>
      </c>
      <c r="I14" s="552">
        <v>0.03</v>
      </c>
      <c r="J14" s="552">
        <f t="shared" ref="J14:J19" si="8">I14*9*$I$4</f>
        <v>6481.0826999999999</v>
      </c>
      <c r="K14" s="553">
        <f t="shared" si="2"/>
        <v>13428.765899999999</v>
      </c>
      <c r="L14" s="553">
        <f>'Смета 2015 88,90,92'!L14+'Смета 2015 86'!L14</f>
        <v>2790</v>
      </c>
      <c r="M14" s="553">
        <f>'Смета 2015 88,90,92'!M14+'Смета 2015 86'!M14</f>
        <v>20754.91</v>
      </c>
      <c r="N14" s="553"/>
      <c r="O14" s="553">
        <f t="shared" ref="O14:O43" si="9">L14+M14+N14</f>
        <v>23544.91</v>
      </c>
      <c r="P14" s="554">
        <f t="shared" si="3"/>
        <v>-10116.144100000001</v>
      </c>
    </row>
    <row r="15" spans="1:16" x14ac:dyDescent="0.25">
      <c r="A15" s="549" t="s">
        <v>47</v>
      </c>
      <c r="B15" s="555" t="s">
        <v>43</v>
      </c>
      <c r="C15" s="556">
        <v>0.05</v>
      </c>
      <c r="D15" s="552">
        <f t="shared" si="5"/>
        <v>3848.4600000000009</v>
      </c>
      <c r="E15" s="552">
        <v>0.05</v>
      </c>
      <c r="F15" s="552">
        <f t="shared" si="6"/>
        <v>3832.6200000000003</v>
      </c>
      <c r="G15" s="552">
        <v>0.05</v>
      </c>
      <c r="H15" s="552">
        <f t="shared" si="7"/>
        <v>3898.3920000000003</v>
      </c>
      <c r="I15" s="552">
        <v>0.05</v>
      </c>
      <c r="J15" s="552">
        <f t="shared" si="8"/>
        <v>10801.8045</v>
      </c>
      <c r="K15" s="553">
        <f t="shared" si="2"/>
        <v>22381.2765</v>
      </c>
      <c r="L15" s="553">
        <f>'Смета 2015 88,90,92'!L15+'Смета 2015 86'!L15</f>
        <v>25365</v>
      </c>
      <c r="M15" s="553">
        <f>'Смета 2015 88,90,92'!M15+'Смета 2015 86'!M15</f>
        <v>1652</v>
      </c>
      <c r="N15" s="553"/>
      <c r="O15" s="553">
        <f t="shared" si="9"/>
        <v>27017</v>
      </c>
      <c r="P15" s="554">
        <f t="shared" si="3"/>
        <v>-4635.7235000000001</v>
      </c>
    </row>
    <row r="16" spans="1:16" x14ac:dyDescent="0.25">
      <c r="A16" s="549" t="s">
        <v>48</v>
      </c>
      <c r="B16" s="555" t="s">
        <v>24</v>
      </c>
      <c r="C16" s="556">
        <v>0.04</v>
      </c>
      <c r="D16" s="552">
        <f t="shared" si="5"/>
        <v>3078.768</v>
      </c>
      <c r="E16" s="552">
        <v>0.04</v>
      </c>
      <c r="F16" s="552">
        <f t="shared" si="6"/>
        <v>3066.096</v>
      </c>
      <c r="G16" s="552">
        <v>0.04</v>
      </c>
      <c r="H16" s="552">
        <f t="shared" si="7"/>
        <v>3118.7135999999996</v>
      </c>
      <c r="I16" s="552">
        <v>0.04</v>
      </c>
      <c r="J16" s="552">
        <f t="shared" si="8"/>
        <v>8641.4435999999987</v>
      </c>
      <c r="K16" s="553">
        <f t="shared" si="2"/>
        <v>17905.021199999996</v>
      </c>
      <c r="M16" s="553">
        <f>'Смета 2015 88,90,92'!M16+'Смета 2015 86'!M16</f>
        <v>25873.8</v>
      </c>
      <c r="N16" s="553">
        <f>'Смета 2015 88,90,92'!N16+'Смета 2015 86'!N16</f>
        <v>5500</v>
      </c>
      <c r="O16" s="553">
        <f>L16+M16+N16</f>
        <v>31373.8</v>
      </c>
      <c r="P16" s="554">
        <f t="shared" si="3"/>
        <v>-13468.778800000004</v>
      </c>
    </row>
    <row r="17" spans="1:16" x14ac:dyDescent="0.25">
      <c r="A17" s="549" t="s">
        <v>49</v>
      </c>
      <c r="B17" s="555" t="s">
        <v>25</v>
      </c>
      <c r="C17" s="556">
        <v>0.33</v>
      </c>
      <c r="D17" s="552">
        <f t="shared" si="5"/>
        <v>25399.836000000003</v>
      </c>
      <c r="E17" s="552">
        <v>0.33</v>
      </c>
      <c r="F17" s="552">
        <f t="shared" si="6"/>
        <v>25295.291999999998</v>
      </c>
      <c r="G17" s="552">
        <v>0.33</v>
      </c>
      <c r="H17" s="552">
        <f t="shared" si="7"/>
        <v>25729.387199999997</v>
      </c>
      <c r="I17" s="552">
        <v>0.33</v>
      </c>
      <c r="J17" s="552">
        <f t="shared" si="8"/>
        <v>71291.909700000004</v>
      </c>
      <c r="K17" s="553">
        <f t="shared" si="2"/>
        <v>147716.42489999998</v>
      </c>
      <c r="L17" s="553">
        <v>99301</v>
      </c>
      <c r="M17" s="553">
        <f>'Смета 2015 88,90,92'!M17+'Смета 2015 86'!M17</f>
        <v>22416.15</v>
      </c>
      <c r="N17" s="553"/>
      <c r="O17" s="553">
        <f t="shared" si="9"/>
        <v>121717.15</v>
      </c>
      <c r="P17" s="554">
        <f t="shared" si="3"/>
        <v>25999.274899999989</v>
      </c>
    </row>
    <row r="18" spans="1:16" x14ac:dyDescent="0.25">
      <c r="A18" s="549" t="s">
        <v>50</v>
      </c>
      <c r="B18" s="555" t="s">
        <v>26</v>
      </c>
      <c r="C18" s="556">
        <v>0.08</v>
      </c>
      <c r="D18" s="552">
        <f t="shared" si="5"/>
        <v>6157.5360000000001</v>
      </c>
      <c r="E18" s="552">
        <v>0.08</v>
      </c>
      <c r="F18" s="552">
        <f t="shared" si="6"/>
        <v>6132.192</v>
      </c>
      <c r="G18" s="552">
        <v>0.08</v>
      </c>
      <c r="H18" s="552">
        <f t="shared" si="7"/>
        <v>6237.4271999999992</v>
      </c>
      <c r="I18" s="552">
        <v>0.08</v>
      </c>
      <c r="J18" s="552">
        <f t="shared" si="8"/>
        <v>17282.887199999997</v>
      </c>
      <c r="K18" s="553">
        <f t="shared" si="2"/>
        <v>35810.042399999991</v>
      </c>
      <c r="L18" s="553">
        <f>'Смета 2015 88,90,92'!L18+'Смета 2015 86'!L18</f>
        <v>27038</v>
      </c>
      <c r="M18" s="553">
        <f>'Смета 2015 88,90,92'!M18+'Смета 2015 86'!M18</f>
        <v>155971.49251929147</v>
      </c>
      <c r="N18" s="553">
        <f>'Смета 2015 88,90,92'!N18+'Смета 2015 86'!N18</f>
        <v>8434.1299999999992</v>
      </c>
      <c r="O18" s="553">
        <f t="shared" si="9"/>
        <v>191443.62251929147</v>
      </c>
      <c r="P18" s="554">
        <f t="shared" si="3"/>
        <v>-155633.5801192915</v>
      </c>
    </row>
    <row r="19" spans="1:16" x14ac:dyDescent="0.25">
      <c r="A19" s="549" t="s">
        <v>51</v>
      </c>
      <c r="B19" s="555" t="s">
        <v>27</v>
      </c>
      <c r="C19" s="556">
        <v>0.06</v>
      </c>
      <c r="D19" s="552">
        <f t="shared" si="5"/>
        <v>4618.152</v>
      </c>
      <c r="E19" s="552">
        <v>0.06</v>
      </c>
      <c r="F19" s="552">
        <f t="shared" si="6"/>
        <v>4599.1439999999993</v>
      </c>
      <c r="G19" s="552">
        <v>0.06</v>
      </c>
      <c r="H19" s="552">
        <f t="shared" si="7"/>
        <v>4678.0703999999996</v>
      </c>
      <c r="I19" s="552">
        <v>0.06</v>
      </c>
      <c r="J19" s="552">
        <f t="shared" si="8"/>
        <v>12962.1654</v>
      </c>
      <c r="K19" s="553">
        <f t="shared" si="2"/>
        <v>26857.531799999997</v>
      </c>
      <c r="L19" s="553">
        <f>'Смета 2015 88,90,92'!L19+'Смета 2015 86'!L19</f>
        <v>62566</v>
      </c>
      <c r="M19" s="553"/>
      <c r="N19" s="553"/>
      <c r="O19" s="553">
        <f t="shared" si="9"/>
        <v>62566</v>
      </c>
      <c r="P19" s="554">
        <f t="shared" si="3"/>
        <v>-35708.468200000003</v>
      </c>
    </row>
    <row r="20" spans="1:16" x14ac:dyDescent="0.25">
      <c r="A20" s="549" t="s">
        <v>65</v>
      </c>
      <c r="B20" s="555" t="s">
        <v>75</v>
      </c>
      <c r="C20" s="556"/>
      <c r="D20" s="552"/>
      <c r="E20" s="552"/>
      <c r="F20" s="552"/>
      <c r="G20" s="552"/>
      <c r="H20" s="552"/>
      <c r="I20" s="552"/>
      <c r="J20" s="552"/>
      <c r="K20" s="553"/>
      <c r="L20" s="553">
        <f>'Смета 2015 88,90,92'!L20+'Смета 2015 86'!L20</f>
        <v>18000</v>
      </c>
      <c r="M20" s="553"/>
      <c r="N20" s="553"/>
      <c r="O20" s="553">
        <f t="shared" si="9"/>
        <v>18000</v>
      </c>
      <c r="P20" s="554">
        <f t="shared" si="3"/>
        <v>-18000</v>
      </c>
    </row>
    <row r="21" spans="1:16" ht="31.5" x14ac:dyDescent="0.25">
      <c r="A21" s="549" t="s">
        <v>74</v>
      </c>
      <c r="B21" s="555" t="s">
        <v>80</v>
      </c>
      <c r="C21" s="556"/>
      <c r="D21" s="552"/>
      <c r="E21" s="552"/>
      <c r="F21" s="552"/>
      <c r="G21" s="552"/>
      <c r="H21" s="552"/>
      <c r="I21" s="552"/>
      <c r="J21" s="552"/>
      <c r="K21" s="553"/>
      <c r="L21" s="553"/>
      <c r="M21" s="553"/>
      <c r="N21" s="553"/>
      <c r="O21" s="553">
        <f t="shared" si="9"/>
        <v>0</v>
      </c>
      <c r="P21" s="554">
        <f t="shared" si="3"/>
        <v>0</v>
      </c>
    </row>
    <row r="22" spans="1:16" s="548" customFormat="1" x14ac:dyDescent="0.25">
      <c r="A22" s="542" t="s">
        <v>15</v>
      </c>
      <c r="B22" s="543" t="s">
        <v>2</v>
      </c>
      <c r="C22" s="544">
        <f>D22/C4/12</f>
        <v>12.596972451318189</v>
      </c>
      <c r="D22" s="545">
        <f>SUM(D23:D32)</f>
        <v>969578.89200000011</v>
      </c>
      <c r="E22" s="544">
        <f>F22/E4/12</f>
        <v>12.603844419744197</v>
      </c>
      <c r="F22" s="545">
        <f>SUM(F23:F32)</f>
        <v>966114.924</v>
      </c>
      <c r="G22" s="544">
        <f>H22/G4/12</f>
        <v>12.5989504595741</v>
      </c>
      <c r="H22" s="545">
        <f>SUM(H23:H32)</f>
        <v>982312.95359999989</v>
      </c>
      <c r="I22" s="544">
        <f>J22/I4/9</f>
        <v>12.597868047880334</v>
      </c>
      <c r="J22" s="545">
        <f>SUM(J23:J32)</f>
        <v>2721594.1554</v>
      </c>
      <c r="K22" s="546">
        <f t="shared" ref="K22:K33" si="10">D22+F22+H22+J22</f>
        <v>5639600.9250000007</v>
      </c>
      <c r="L22" s="546">
        <f>SUM(L23:L32)</f>
        <v>5698432.9500000002</v>
      </c>
      <c r="M22" s="546">
        <f>SUM(M23:M32)</f>
        <v>11881</v>
      </c>
      <c r="N22" s="546">
        <f>SUM(N23:N32)</f>
        <v>29386</v>
      </c>
      <c r="O22" s="546">
        <f t="shared" si="9"/>
        <v>5739699.9500000002</v>
      </c>
      <c r="P22" s="547">
        <f t="shared" si="3"/>
        <v>-100099.02499999944</v>
      </c>
    </row>
    <row r="23" spans="1:16" x14ac:dyDescent="0.25">
      <c r="A23" s="549" t="s">
        <v>21</v>
      </c>
      <c r="B23" s="555" t="s">
        <v>44</v>
      </c>
      <c r="C23" s="556">
        <v>11.01</v>
      </c>
      <c r="D23" s="552">
        <f>C23*12*C4</f>
        <v>847430.89200000011</v>
      </c>
      <c r="E23" s="552">
        <v>11.01</v>
      </c>
      <c r="F23" s="552">
        <f>E23*12*E4</f>
        <v>843942.924</v>
      </c>
      <c r="G23" s="552">
        <v>11.04</v>
      </c>
      <c r="H23" s="552">
        <f>G23*12*G4</f>
        <v>860764.95359999989</v>
      </c>
      <c r="I23" s="552">
        <v>11.06</v>
      </c>
      <c r="J23" s="552">
        <f>I23*9*I4</f>
        <v>2389359.1554</v>
      </c>
      <c r="K23" s="553">
        <f t="shared" si="10"/>
        <v>4941497.9250000007</v>
      </c>
      <c r="L23" s="553">
        <f>'Смета 2015 88,90,92'!L23+'Смета 2015 86'!L23</f>
        <v>4982370</v>
      </c>
      <c r="M23" s="553"/>
      <c r="N23" s="553"/>
      <c r="O23" s="553">
        <f>L23+M23+N23</f>
        <v>4982370</v>
      </c>
      <c r="P23" s="554">
        <f t="shared" si="3"/>
        <v>-40872.074999999255</v>
      </c>
    </row>
    <row r="24" spans="1:16" x14ac:dyDescent="0.25">
      <c r="A24" s="549" t="s">
        <v>22</v>
      </c>
      <c r="B24" s="550" t="s">
        <v>28</v>
      </c>
      <c r="C24" s="556">
        <v>1721</v>
      </c>
      <c r="D24" s="552">
        <f t="shared" ref="D24:D29" si="11">C24*12</f>
        <v>20652</v>
      </c>
      <c r="E24" s="557">
        <v>1722</v>
      </c>
      <c r="F24" s="552">
        <f t="shared" ref="F24:F29" si="12">E24*12</f>
        <v>20664</v>
      </c>
      <c r="G24" s="557">
        <v>1723</v>
      </c>
      <c r="H24" s="552">
        <f t="shared" ref="H24:H29" si="13">G24*12</f>
        <v>20676</v>
      </c>
      <c r="I24" s="552">
        <v>6108</v>
      </c>
      <c r="J24" s="552">
        <f t="shared" ref="J24:J29" si="14">I24*9</f>
        <v>54972</v>
      </c>
      <c r="K24" s="553">
        <f t="shared" si="10"/>
        <v>116964</v>
      </c>
      <c r="L24" s="558">
        <f>'Смета 2015 88,90,92'!L24+'Смета 2015 86'!L24</f>
        <v>37393</v>
      </c>
      <c r="M24" s="559"/>
      <c r="N24" s="559"/>
      <c r="O24" s="553">
        <f t="shared" si="9"/>
        <v>37393</v>
      </c>
      <c r="P24" s="554">
        <f t="shared" si="3"/>
        <v>79571</v>
      </c>
    </row>
    <row r="25" spans="1:16" x14ac:dyDescent="0.25">
      <c r="A25" s="549" t="s">
        <v>23</v>
      </c>
      <c r="B25" s="550" t="s">
        <v>29</v>
      </c>
      <c r="C25" s="556">
        <v>1680</v>
      </c>
      <c r="D25" s="552">
        <f t="shared" si="11"/>
        <v>20160</v>
      </c>
      <c r="E25" s="557">
        <v>1681</v>
      </c>
      <c r="F25" s="552">
        <f t="shared" si="12"/>
        <v>20172</v>
      </c>
      <c r="G25" s="557">
        <v>1682</v>
      </c>
      <c r="H25" s="552">
        <f t="shared" si="13"/>
        <v>20184</v>
      </c>
      <c r="I25" s="552">
        <v>6140</v>
      </c>
      <c r="J25" s="552">
        <f t="shared" si="14"/>
        <v>55260</v>
      </c>
      <c r="K25" s="553">
        <f t="shared" si="10"/>
        <v>115776</v>
      </c>
      <c r="L25" s="553">
        <f>'Смета 2015 88,90,92'!L25+'Смета 2015 86'!L25</f>
        <v>130164</v>
      </c>
      <c r="M25" s="553"/>
      <c r="N25" s="553"/>
      <c r="O25" s="553">
        <f t="shared" si="9"/>
        <v>130164</v>
      </c>
      <c r="P25" s="554">
        <f t="shared" si="3"/>
        <v>-14388</v>
      </c>
    </row>
    <row r="26" spans="1:16" x14ac:dyDescent="0.25">
      <c r="A26" s="549" t="s">
        <v>40</v>
      </c>
      <c r="B26" s="550" t="s">
        <v>30</v>
      </c>
      <c r="C26" s="556">
        <v>333</v>
      </c>
      <c r="D26" s="552">
        <f t="shared" si="11"/>
        <v>3996</v>
      </c>
      <c r="E26" s="552">
        <v>333</v>
      </c>
      <c r="F26" s="552">
        <f t="shared" si="12"/>
        <v>3996</v>
      </c>
      <c r="G26" s="552">
        <v>278</v>
      </c>
      <c r="H26" s="552">
        <f t="shared" si="13"/>
        <v>3336</v>
      </c>
      <c r="I26" s="552">
        <v>2500</v>
      </c>
      <c r="J26" s="552">
        <f t="shared" si="14"/>
        <v>22500</v>
      </c>
      <c r="K26" s="553">
        <f t="shared" si="10"/>
        <v>33828</v>
      </c>
      <c r="L26" s="553">
        <f>'Смета 2015 88,90,92'!L26+'Смета 2015 86'!L26</f>
        <v>11180</v>
      </c>
      <c r="M26" s="560"/>
      <c r="N26" s="553">
        <f>'Смета 2015 88,90,92'!N26+'Смета 2015 86'!N26</f>
        <v>8600</v>
      </c>
      <c r="O26" s="553">
        <f t="shared" si="9"/>
        <v>19780</v>
      </c>
      <c r="P26" s="554">
        <f t="shared" si="3"/>
        <v>14048</v>
      </c>
    </row>
    <row r="27" spans="1:16" x14ac:dyDescent="0.25">
      <c r="A27" s="549" t="s">
        <v>52</v>
      </c>
      <c r="B27" s="550" t="s">
        <v>31</v>
      </c>
      <c r="C27" s="556">
        <v>278</v>
      </c>
      <c r="D27" s="552">
        <f t="shared" si="11"/>
        <v>3336</v>
      </c>
      <c r="E27" s="552">
        <v>278</v>
      </c>
      <c r="F27" s="552">
        <f t="shared" si="12"/>
        <v>3336</v>
      </c>
      <c r="G27" s="552">
        <v>279</v>
      </c>
      <c r="H27" s="552">
        <f t="shared" si="13"/>
        <v>3348</v>
      </c>
      <c r="I27" s="552">
        <v>1000</v>
      </c>
      <c r="J27" s="552">
        <f t="shared" si="14"/>
        <v>9000</v>
      </c>
      <c r="K27" s="553">
        <f t="shared" si="10"/>
        <v>19020</v>
      </c>
      <c r="L27" s="553">
        <f>'Смета 2015 88,90,92'!L27+'Смета 2015 86'!L27</f>
        <v>68500</v>
      </c>
      <c r="M27" s="553"/>
      <c r="N27" s="553"/>
      <c r="O27" s="553">
        <f t="shared" si="9"/>
        <v>68500</v>
      </c>
      <c r="P27" s="554">
        <f t="shared" si="3"/>
        <v>-49480</v>
      </c>
    </row>
    <row r="28" spans="1:16" x14ac:dyDescent="0.25">
      <c r="A28" s="549" t="s">
        <v>53</v>
      </c>
      <c r="B28" s="550" t="s">
        <v>32</v>
      </c>
      <c r="C28" s="556">
        <v>6000</v>
      </c>
      <c r="D28" s="552">
        <f t="shared" si="11"/>
        <v>72000</v>
      </c>
      <c r="E28" s="557">
        <v>6000</v>
      </c>
      <c r="F28" s="552">
        <f t="shared" si="12"/>
        <v>72000</v>
      </c>
      <c r="G28" s="557">
        <v>6000</v>
      </c>
      <c r="H28" s="552">
        <f t="shared" si="13"/>
        <v>72000</v>
      </c>
      <c r="I28" s="552">
        <v>21000</v>
      </c>
      <c r="J28" s="552">
        <f t="shared" si="14"/>
        <v>189000</v>
      </c>
      <c r="K28" s="553">
        <f t="shared" si="10"/>
        <v>405000</v>
      </c>
      <c r="L28" s="553">
        <f>'Смета 2015 88,90,92'!L28+'Смета 2015 86'!L28</f>
        <v>228988.41000000003</v>
      </c>
      <c r="M28" s="553"/>
      <c r="N28" s="560"/>
      <c r="O28" s="553">
        <f t="shared" si="9"/>
        <v>228988.41000000003</v>
      </c>
      <c r="P28" s="554">
        <f t="shared" si="3"/>
        <v>176011.58999999997</v>
      </c>
    </row>
    <row r="29" spans="1:16" x14ac:dyDescent="0.25">
      <c r="A29" s="549" t="s">
        <v>54</v>
      </c>
      <c r="B29" s="550" t="s">
        <v>33</v>
      </c>
      <c r="C29" s="556">
        <v>167</v>
      </c>
      <c r="D29" s="552">
        <f t="shared" si="11"/>
        <v>2004</v>
      </c>
      <c r="E29" s="556">
        <v>167</v>
      </c>
      <c r="F29" s="552">
        <f t="shared" si="12"/>
        <v>2004</v>
      </c>
      <c r="G29" s="556">
        <v>167</v>
      </c>
      <c r="H29" s="552">
        <f t="shared" si="13"/>
        <v>2004</v>
      </c>
      <c r="I29" s="552">
        <v>167</v>
      </c>
      <c r="J29" s="552">
        <f t="shared" si="14"/>
        <v>1503</v>
      </c>
      <c r="K29" s="553">
        <f t="shared" si="10"/>
        <v>7515</v>
      </c>
      <c r="L29" s="560"/>
      <c r="M29" s="553">
        <f>'Смета 2015 88,90,92'!M29+'Смета 2015 86'!M29</f>
        <v>11502</v>
      </c>
      <c r="N29" s="553">
        <f>'Смета 2015 88,90,92'!N29+'Смета 2015 86'!N29</f>
        <v>20786</v>
      </c>
      <c r="O29" s="553">
        <f t="shared" si="9"/>
        <v>32288</v>
      </c>
      <c r="P29" s="554">
        <f t="shared" si="3"/>
        <v>-24773</v>
      </c>
    </row>
    <row r="30" spans="1:16" x14ac:dyDescent="0.25">
      <c r="A30" s="549" t="s">
        <v>55</v>
      </c>
      <c r="B30" s="550" t="s">
        <v>36</v>
      </c>
      <c r="C30" s="556"/>
      <c r="D30" s="552"/>
      <c r="E30" s="556"/>
      <c r="F30" s="552"/>
      <c r="G30" s="556"/>
      <c r="H30" s="552"/>
      <c r="I30" s="552"/>
      <c r="J30" s="552"/>
      <c r="K30" s="553"/>
      <c r="L30" s="553">
        <f>'Смета 2015 88,90,92'!L30+'Смета 2015 86'!L30</f>
        <v>5489.54</v>
      </c>
      <c r="M30" s="553">
        <f>'Смета 2015 88,90,92'!M30+'Смета 2015 86'!M30</f>
        <v>379.00000000000006</v>
      </c>
      <c r="N30" s="553"/>
      <c r="O30" s="553">
        <f t="shared" si="9"/>
        <v>5868.54</v>
      </c>
      <c r="P30" s="554">
        <f t="shared" si="3"/>
        <v>-5868.54</v>
      </c>
    </row>
    <row r="31" spans="1:16" x14ac:dyDescent="0.25">
      <c r="A31" s="549" t="s">
        <v>56</v>
      </c>
      <c r="B31" s="550" t="s">
        <v>82</v>
      </c>
      <c r="C31" s="556"/>
      <c r="D31" s="552"/>
      <c r="E31" s="556"/>
      <c r="F31" s="552"/>
      <c r="G31" s="556"/>
      <c r="H31" s="552"/>
      <c r="I31" s="552"/>
      <c r="J31" s="552"/>
      <c r="K31" s="553"/>
      <c r="L31" s="553">
        <v>104348</v>
      </c>
      <c r="M31" s="553"/>
      <c r="N31" s="553"/>
      <c r="O31" s="553">
        <f t="shared" si="9"/>
        <v>104348</v>
      </c>
      <c r="P31" s="554">
        <f t="shared" si="3"/>
        <v>-104348</v>
      </c>
    </row>
    <row r="32" spans="1:16" x14ac:dyDescent="0.25">
      <c r="A32" s="549" t="s">
        <v>59</v>
      </c>
      <c r="B32" s="550" t="s">
        <v>83</v>
      </c>
      <c r="C32" s="556"/>
      <c r="D32" s="552"/>
      <c r="E32" s="556"/>
      <c r="F32" s="552"/>
      <c r="G32" s="556"/>
      <c r="H32" s="552"/>
      <c r="I32" s="552"/>
      <c r="J32" s="552"/>
      <c r="K32" s="553"/>
      <c r="L32" s="553">
        <v>130000</v>
      </c>
      <c r="M32" s="553"/>
      <c r="N32" s="553"/>
      <c r="O32" s="553">
        <f t="shared" si="9"/>
        <v>130000</v>
      </c>
      <c r="P32" s="554">
        <f t="shared" si="3"/>
        <v>-130000</v>
      </c>
    </row>
    <row r="33" spans="1:17" x14ac:dyDescent="0.25">
      <c r="A33" s="549" t="s">
        <v>56</v>
      </c>
      <c r="B33" s="550" t="s">
        <v>76</v>
      </c>
      <c r="C33" s="556">
        <v>1.82</v>
      </c>
      <c r="D33" s="552">
        <f>C33*12*C4</f>
        <v>140083.94400000002</v>
      </c>
      <c r="E33" s="556">
        <v>1.82</v>
      </c>
      <c r="F33" s="552">
        <f>E33*12*E4</f>
        <v>139507.36799999999</v>
      </c>
      <c r="G33" s="556">
        <v>1.82</v>
      </c>
      <c r="H33" s="552">
        <f>G33*12*G4</f>
        <v>141901.4688</v>
      </c>
      <c r="I33" s="552">
        <v>1.82</v>
      </c>
      <c r="J33" s="552">
        <f>I33*9*I4</f>
        <v>393185.68379999994</v>
      </c>
      <c r="K33" s="553">
        <f t="shared" si="10"/>
        <v>814678.46460000006</v>
      </c>
      <c r="L33" s="553">
        <f>SUM(L34:L39)</f>
        <v>136459</v>
      </c>
      <c r="M33" s="553">
        <f t="shared" ref="M33:N33" si="15">SUM(M34:M39)</f>
        <v>61957</v>
      </c>
      <c r="N33" s="553">
        <f t="shared" si="15"/>
        <v>57780</v>
      </c>
      <c r="O33" s="553">
        <f>L33+M33+N33</f>
        <v>256196</v>
      </c>
      <c r="P33" s="554">
        <f>K33-O33</f>
        <v>558482.46460000006</v>
      </c>
    </row>
    <row r="34" spans="1:17" ht="31.5" x14ac:dyDescent="0.25">
      <c r="A34" s="549" t="s">
        <v>91</v>
      </c>
      <c r="B34" s="550" t="s">
        <v>60</v>
      </c>
      <c r="C34" s="561"/>
      <c r="D34" s="552"/>
      <c r="E34" s="552"/>
      <c r="F34" s="552"/>
      <c r="G34" s="552"/>
      <c r="H34" s="552"/>
      <c r="I34" s="552"/>
      <c r="J34" s="552"/>
      <c r="K34" s="553"/>
      <c r="L34" s="553">
        <v>43315</v>
      </c>
      <c r="M34" s="553"/>
      <c r="N34" s="553"/>
      <c r="O34" s="553">
        <f t="shared" si="9"/>
        <v>43315</v>
      </c>
      <c r="P34" s="554">
        <f t="shared" si="3"/>
        <v>-43315</v>
      </c>
    </row>
    <row r="35" spans="1:17" x14ac:dyDescent="0.25">
      <c r="A35" s="549" t="s">
        <v>92</v>
      </c>
      <c r="B35" s="550" t="s">
        <v>77</v>
      </c>
      <c r="C35" s="561"/>
      <c r="D35" s="552"/>
      <c r="E35" s="552"/>
      <c r="F35" s="552"/>
      <c r="G35" s="552"/>
      <c r="H35" s="552"/>
      <c r="I35" s="552"/>
      <c r="J35" s="552"/>
      <c r="K35" s="553"/>
      <c r="L35" s="553"/>
      <c r="M35" s="553"/>
      <c r="N35" s="553">
        <v>25090</v>
      </c>
      <c r="O35" s="553">
        <f t="shared" si="9"/>
        <v>25090</v>
      </c>
      <c r="P35" s="554">
        <f t="shared" si="3"/>
        <v>-25090</v>
      </c>
    </row>
    <row r="36" spans="1:17" x14ac:dyDescent="0.25">
      <c r="A36" s="549" t="s">
        <v>93</v>
      </c>
      <c r="B36" s="550" t="s">
        <v>81</v>
      </c>
      <c r="C36" s="561"/>
      <c r="D36" s="552"/>
      <c r="E36" s="552"/>
      <c r="F36" s="552"/>
      <c r="G36" s="552"/>
      <c r="H36" s="552"/>
      <c r="I36" s="552"/>
      <c r="J36" s="552"/>
      <c r="K36" s="553"/>
      <c r="L36" s="553"/>
      <c r="M36" s="553"/>
      <c r="N36" s="553">
        <v>24990</v>
      </c>
      <c r="O36" s="553">
        <f t="shared" si="9"/>
        <v>24990</v>
      </c>
      <c r="P36" s="554">
        <f t="shared" si="3"/>
        <v>-24990</v>
      </c>
    </row>
    <row r="37" spans="1:17" x14ac:dyDescent="0.25">
      <c r="A37" s="549" t="s">
        <v>94</v>
      </c>
      <c r="B37" s="550" t="s">
        <v>79</v>
      </c>
      <c r="C37" s="561"/>
      <c r="D37" s="552"/>
      <c r="E37" s="552"/>
      <c r="F37" s="552"/>
      <c r="G37" s="552"/>
      <c r="H37" s="552"/>
      <c r="I37" s="552"/>
      <c r="J37" s="552"/>
      <c r="K37" s="553"/>
      <c r="L37" s="553">
        <v>2250</v>
      </c>
      <c r="M37" s="553">
        <f>6088+7751+18827+2211</f>
        <v>34877</v>
      </c>
      <c r="N37" s="553"/>
      <c r="O37" s="553">
        <f t="shared" si="9"/>
        <v>37127</v>
      </c>
      <c r="P37" s="554">
        <f t="shared" si="3"/>
        <v>-37127</v>
      </c>
    </row>
    <row r="38" spans="1:17" x14ac:dyDescent="0.25">
      <c r="A38" s="549" t="s">
        <v>179</v>
      </c>
      <c r="B38" s="550" t="s">
        <v>180</v>
      </c>
      <c r="C38" s="561"/>
      <c r="D38" s="552"/>
      <c r="E38" s="552"/>
      <c r="F38" s="552"/>
      <c r="G38" s="552"/>
      <c r="H38" s="552"/>
      <c r="I38" s="552"/>
      <c r="J38" s="552"/>
      <c r="K38" s="553"/>
      <c r="L38" s="553"/>
      <c r="M38" s="553">
        <v>27080</v>
      </c>
      <c r="N38" s="553"/>
      <c r="O38" s="553">
        <f t="shared" si="9"/>
        <v>27080</v>
      </c>
      <c r="P38" s="554">
        <f t="shared" si="3"/>
        <v>-27080</v>
      </c>
    </row>
    <row r="39" spans="1:17" x14ac:dyDescent="0.25">
      <c r="A39" s="549" t="s">
        <v>95</v>
      </c>
      <c r="B39" s="550" t="s">
        <v>83</v>
      </c>
      <c r="C39" s="561"/>
      <c r="D39" s="552"/>
      <c r="E39" s="552"/>
      <c r="F39" s="552"/>
      <c r="G39" s="552"/>
      <c r="H39" s="552"/>
      <c r="I39" s="552"/>
      <c r="J39" s="552"/>
      <c r="K39" s="553"/>
      <c r="L39" s="553">
        <f>88804+2090</f>
        <v>90894</v>
      </c>
      <c r="M39" s="553"/>
      <c r="N39" s="553">
        <v>7700</v>
      </c>
      <c r="O39" s="553">
        <f t="shared" si="9"/>
        <v>98594</v>
      </c>
      <c r="P39" s="554">
        <f t="shared" si="3"/>
        <v>-98594</v>
      </c>
    </row>
    <row r="40" spans="1:17" x14ac:dyDescent="0.25">
      <c r="A40" s="549" t="s">
        <v>16</v>
      </c>
      <c r="B40" s="543" t="s">
        <v>4</v>
      </c>
      <c r="C40" s="556">
        <v>1.31</v>
      </c>
      <c r="D40" s="552">
        <f>C40*6359.2*12</f>
        <v>99966.623999999996</v>
      </c>
      <c r="E40" s="552">
        <v>1.31</v>
      </c>
      <c r="F40" s="552">
        <f>E40*6359.2*12</f>
        <v>99966.623999999996</v>
      </c>
      <c r="G40" s="552">
        <v>1.31</v>
      </c>
      <c r="H40" s="552">
        <f>G40*6359.2*12</f>
        <v>99966.623999999996</v>
      </c>
      <c r="I40" s="562">
        <v>2.8849999999999998</v>
      </c>
      <c r="J40" s="552">
        <f>I40*9*24003</f>
        <v>623237.8949999999</v>
      </c>
      <c r="K40" s="546">
        <f>D40+F40+H40+J40</f>
        <v>923137.76699999988</v>
      </c>
      <c r="L40" s="553">
        <v>923311</v>
      </c>
      <c r="M40" s="553"/>
      <c r="N40" s="553"/>
      <c r="O40" s="546">
        <f t="shared" si="9"/>
        <v>923311</v>
      </c>
      <c r="P40" s="547">
        <f t="shared" si="3"/>
        <v>-173.23300000012387</v>
      </c>
    </row>
    <row r="41" spans="1:17" x14ac:dyDescent="0.25">
      <c r="A41" s="549" t="s">
        <v>17</v>
      </c>
      <c r="B41" s="543" t="s">
        <v>5</v>
      </c>
      <c r="C41" s="556">
        <v>36</v>
      </c>
      <c r="D41" s="552">
        <f>C41*12*84</f>
        <v>36288</v>
      </c>
      <c r="E41" s="552">
        <v>36</v>
      </c>
      <c r="F41" s="552">
        <f>E41*12*81</f>
        <v>34992</v>
      </c>
      <c r="G41" s="552">
        <v>35</v>
      </c>
      <c r="H41" s="552">
        <f>G41*12*84</f>
        <v>35280</v>
      </c>
      <c r="I41" s="552">
        <v>0.48</v>
      </c>
      <c r="J41" s="552">
        <f>I41*9*I4</f>
        <v>103697.3232</v>
      </c>
      <c r="K41" s="546">
        <f>D41+F41+H41+J41</f>
        <v>210257.32319999998</v>
      </c>
      <c r="L41" s="553">
        <v>151018</v>
      </c>
      <c r="M41" s="553"/>
      <c r="N41" s="553"/>
      <c r="O41" s="546">
        <f t="shared" si="9"/>
        <v>151018</v>
      </c>
      <c r="P41" s="547">
        <f t="shared" si="3"/>
        <v>59239.323199999984</v>
      </c>
    </row>
    <row r="42" spans="1:17" x14ac:dyDescent="0.25">
      <c r="A42" s="549" t="s">
        <v>18</v>
      </c>
      <c r="B42" s="543" t="s">
        <v>6</v>
      </c>
      <c r="C42" s="556">
        <v>2.63</v>
      </c>
      <c r="D42" s="552">
        <f>C42*12*C4</f>
        <v>202428.99600000001</v>
      </c>
      <c r="E42" s="552">
        <v>2.63</v>
      </c>
      <c r="F42" s="552">
        <f>E42*12*E4</f>
        <v>201595.81199999998</v>
      </c>
      <c r="G42" s="552">
        <v>2.63</v>
      </c>
      <c r="H42" s="552">
        <f>G42*12*G4</f>
        <v>205055.41919999997</v>
      </c>
      <c r="I42" s="552">
        <v>2.76</v>
      </c>
      <c r="J42" s="552">
        <f>I42*9*I4</f>
        <v>596259.60839999991</v>
      </c>
      <c r="K42" s="546">
        <f>D42+F42+H42+J42</f>
        <v>1205339.8355999999</v>
      </c>
      <c r="L42" s="553">
        <f>933337+13325</f>
        <v>946662</v>
      </c>
      <c r="M42" s="553"/>
      <c r="N42" s="553"/>
      <c r="O42" s="546">
        <f t="shared" si="9"/>
        <v>946662</v>
      </c>
      <c r="P42" s="547">
        <f t="shared" si="3"/>
        <v>258677.83559999987</v>
      </c>
      <c r="Q42" s="520" t="s">
        <v>78</v>
      </c>
    </row>
    <row r="43" spans="1:17" x14ac:dyDescent="0.25">
      <c r="A43" s="549" t="s">
        <v>57</v>
      </c>
      <c r="B43" s="543" t="s">
        <v>3</v>
      </c>
      <c r="C43" s="556">
        <v>1</v>
      </c>
      <c r="D43" s="552">
        <f>C43*12*C4</f>
        <v>76969.200000000012</v>
      </c>
      <c r="E43" s="552">
        <v>1.5</v>
      </c>
      <c r="F43" s="552">
        <f>E43*12*E4</f>
        <v>114978.59999999999</v>
      </c>
      <c r="G43" s="552">
        <v>2</v>
      </c>
      <c r="H43" s="552">
        <f>G43*12*G4</f>
        <v>155935.67999999999</v>
      </c>
      <c r="I43" s="552">
        <v>2</v>
      </c>
      <c r="J43" s="552">
        <f>I43*9*I4</f>
        <v>432072.18</v>
      </c>
      <c r="K43" s="546">
        <f>D43+F43+H43+J43-F43</f>
        <v>664977.05999999994</v>
      </c>
      <c r="L43" s="553">
        <f>SUM(L44:L45)</f>
        <v>156696</v>
      </c>
      <c r="M43" s="553">
        <f t="shared" ref="M43:N43" si="16">SUM(M44:M45)</f>
        <v>0</v>
      </c>
      <c r="N43" s="553">
        <f t="shared" si="16"/>
        <v>0</v>
      </c>
      <c r="O43" s="546">
        <f t="shared" si="9"/>
        <v>156696</v>
      </c>
      <c r="P43" s="547">
        <f>K43-O43</f>
        <v>508281.05999999994</v>
      </c>
    </row>
    <row r="44" spans="1:17" ht="31.5" x14ac:dyDescent="0.25">
      <c r="A44" s="549" t="s">
        <v>223</v>
      </c>
      <c r="B44" s="555" t="s">
        <v>224</v>
      </c>
      <c r="C44" s="556"/>
      <c r="D44" s="552"/>
      <c r="E44" s="552"/>
      <c r="F44" s="552"/>
      <c r="G44" s="552"/>
      <c r="H44" s="552"/>
      <c r="I44" s="552"/>
      <c r="J44" s="552"/>
      <c r="K44" s="546"/>
      <c r="L44" s="553">
        <f>'Смета 2015 88,90,92'!L45</f>
        <v>113164</v>
      </c>
      <c r="M44" s="553"/>
      <c r="N44" s="553"/>
      <c r="O44" s="553">
        <v>113164</v>
      </c>
      <c r="P44" s="547"/>
    </row>
    <row r="45" spans="1:17" ht="31.5" x14ac:dyDescent="0.25">
      <c r="A45" s="563" t="s">
        <v>672</v>
      </c>
      <c r="B45" s="555" t="s">
        <v>80</v>
      </c>
      <c r="C45" s="556"/>
      <c r="D45" s="552"/>
      <c r="E45" s="552"/>
      <c r="F45" s="552"/>
      <c r="G45" s="552"/>
      <c r="H45" s="552"/>
      <c r="I45" s="552"/>
      <c r="J45" s="552"/>
      <c r="K45" s="546"/>
      <c r="L45" s="553">
        <f>'Смета 2015 88,90,92'!L46</f>
        <v>43532</v>
      </c>
      <c r="M45" s="553"/>
      <c r="N45" s="553"/>
      <c r="O45" s="553">
        <v>43532</v>
      </c>
      <c r="P45" s="547"/>
    </row>
    <row r="46" spans="1:17" x14ac:dyDescent="0.25">
      <c r="A46" s="549" t="s">
        <v>84</v>
      </c>
      <c r="B46" s="543" t="s">
        <v>669</v>
      </c>
      <c r="C46" s="556"/>
      <c r="D46" s="552"/>
      <c r="E46" s="552"/>
      <c r="F46" s="552"/>
      <c r="G46" s="552"/>
      <c r="H46" s="552"/>
      <c r="I46" s="552"/>
      <c r="J46" s="552"/>
      <c r="K46" s="546">
        <f>'Смета 2015 88,90,92'!K48+'Смета 2015 86'!K44</f>
        <v>178988</v>
      </c>
      <c r="L46" s="553"/>
      <c r="M46" s="553"/>
      <c r="N46" s="553"/>
      <c r="O46" s="546">
        <f>SUM(L46:N46)</f>
        <v>0</v>
      </c>
      <c r="P46" s="547">
        <f>K46-O46</f>
        <v>178988</v>
      </c>
    </row>
    <row r="47" spans="1:17" ht="15" customHeight="1" x14ac:dyDescent="0.25">
      <c r="B47" s="543"/>
      <c r="C47" s="556"/>
      <c r="D47" s="552"/>
      <c r="E47" s="552"/>
      <c r="F47" s="552"/>
      <c r="G47" s="552"/>
      <c r="H47" s="552"/>
      <c r="I47" s="552"/>
      <c r="J47" s="552"/>
      <c r="K47" s="546"/>
      <c r="L47" s="553"/>
      <c r="M47" s="553"/>
      <c r="N47" s="553"/>
      <c r="O47" s="546"/>
      <c r="P47" s="547"/>
    </row>
    <row r="48" spans="1:17" x14ac:dyDescent="0.25">
      <c r="A48" s="549" t="s">
        <v>88</v>
      </c>
      <c r="B48" s="543" t="s">
        <v>85</v>
      </c>
      <c r="C48" s="556"/>
      <c r="D48" s="552"/>
      <c r="E48" s="552"/>
      <c r="F48" s="552"/>
      <c r="G48" s="552"/>
      <c r="H48" s="552"/>
      <c r="I48" s="552"/>
      <c r="J48" s="552"/>
      <c r="K48" s="553"/>
      <c r="L48" s="553"/>
      <c r="M48" s="553"/>
      <c r="N48" s="553"/>
      <c r="O48" s="546"/>
      <c r="P48" s="554"/>
    </row>
    <row r="49" spans="1:16" x14ac:dyDescent="0.25">
      <c r="A49" s="549" t="s">
        <v>673</v>
      </c>
      <c r="B49" s="555" t="s">
        <v>1</v>
      </c>
      <c r="C49" s="556"/>
      <c r="D49" s="552"/>
      <c r="E49" s="552"/>
      <c r="F49" s="552"/>
      <c r="G49" s="552"/>
      <c r="H49" s="552"/>
      <c r="I49" s="552"/>
      <c r="J49" s="552"/>
      <c r="K49" s="553"/>
      <c r="L49" s="553"/>
      <c r="M49" s="553"/>
      <c r="N49" s="560"/>
      <c r="O49" s="546"/>
      <c r="P49" s="554">
        <f>P13</f>
        <v>-211563.41981929151</v>
      </c>
    </row>
    <row r="50" spans="1:16" x14ac:dyDescent="0.25">
      <c r="A50" s="549" t="s">
        <v>673</v>
      </c>
      <c r="B50" s="550" t="s">
        <v>82</v>
      </c>
      <c r="C50" s="556"/>
      <c r="D50" s="552"/>
      <c r="E50" s="552"/>
      <c r="F50" s="552"/>
      <c r="G50" s="552"/>
      <c r="H50" s="552"/>
      <c r="I50" s="552"/>
      <c r="J50" s="552"/>
      <c r="K50" s="553"/>
      <c r="L50" s="553"/>
      <c r="M50" s="553"/>
      <c r="N50" s="560"/>
      <c r="O50" s="546"/>
      <c r="P50" s="554">
        <f>P31</f>
        <v>-104348</v>
      </c>
    </row>
    <row r="51" spans="1:16" x14ac:dyDescent="0.25">
      <c r="A51" s="549" t="s">
        <v>673</v>
      </c>
      <c r="B51" s="550" t="s">
        <v>83</v>
      </c>
      <c r="C51" s="556"/>
      <c r="D51" s="552"/>
      <c r="E51" s="552"/>
      <c r="F51" s="552"/>
      <c r="G51" s="552"/>
      <c r="H51" s="552"/>
      <c r="I51" s="552"/>
      <c r="J51" s="552"/>
      <c r="K51" s="553"/>
      <c r="L51" s="553"/>
      <c r="M51" s="553"/>
      <c r="N51" s="560"/>
      <c r="O51" s="546"/>
      <c r="P51" s="554">
        <f>P32</f>
        <v>-130000</v>
      </c>
    </row>
    <row r="52" spans="1:16" x14ac:dyDescent="0.25">
      <c r="A52" s="624" t="s">
        <v>87</v>
      </c>
      <c r="B52" s="624"/>
      <c r="C52" s="556"/>
      <c r="D52" s="552"/>
      <c r="E52" s="552"/>
      <c r="F52" s="552"/>
      <c r="G52" s="552"/>
      <c r="H52" s="552"/>
      <c r="I52" s="552"/>
      <c r="J52" s="552"/>
      <c r="K52" s="553"/>
      <c r="L52" s="553"/>
      <c r="M52" s="553"/>
      <c r="N52" s="560"/>
      <c r="O52" s="546"/>
      <c r="P52" s="547">
        <f>SUM(P49:P51)</f>
        <v>-445911.41981929151</v>
      </c>
    </row>
    <row r="53" spans="1:16" x14ac:dyDescent="0.25">
      <c r="A53" s="549" t="s">
        <v>674</v>
      </c>
      <c r="B53" s="564" t="s">
        <v>89</v>
      </c>
      <c r="C53" s="556"/>
      <c r="D53" s="552"/>
      <c r="E53" s="552"/>
      <c r="F53" s="552"/>
      <c r="G53" s="552"/>
      <c r="H53" s="552"/>
      <c r="I53" s="552"/>
      <c r="J53" s="552"/>
      <c r="K53" s="553"/>
      <c r="L53" s="553"/>
      <c r="M53" s="553"/>
      <c r="N53" s="560"/>
      <c r="O53" s="546"/>
      <c r="P53" s="547"/>
    </row>
    <row r="54" spans="1:16" x14ac:dyDescent="0.25">
      <c r="A54" s="549" t="s">
        <v>675</v>
      </c>
      <c r="B54" s="555" t="s">
        <v>2</v>
      </c>
      <c r="C54" s="556"/>
      <c r="D54" s="552"/>
      <c r="E54" s="552"/>
      <c r="F54" s="552"/>
      <c r="G54" s="552"/>
      <c r="H54" s="552"/>
      <c r="I54" s="552"/>
      <c r="J54" s="552"/>
      <c r="K54" s="553"/>
      <c r="L54" s="553"/>
      <c r="M54" s="553"/>
      <c r="N54" s="560"/>
      <c r="O54" s="546"/>
      <c r="P54" s="547">
        <f>P55+P56</f>
        <v>255582.58999999997</v>
      </c>
    </row>
    <row r="55" spans="1:16" x14ac:dyDescent="0.25">
      <c r="A55" s="549" t="s">
        <v>676</v>
      </c>
      <c r="B55" s="550" t="s">
        <v>32</v>
      </c>
      <c r="C55" s="556"/>
      <c r="D55" s="552"/>
      <c r="E55" s="552"/>
      <c r="F55" s="552"/>
      <c r="G55" s="552"/>
      <c r="H55" s="552"/>
      <c r="I55" s="552"/>
      <c r="J55" s="552"/>
      <c r="K55" s="553"/>
      <c r="L55" s="553"/>
      <c r="M55" s="553"/>
      <c r="N55" s="560"/>
      <c r="O55" s="546"/>
      <c r="P55" s="554">
        <f>P28</f>
        <v>176011.58999999997</v>
      </c>
    </row>
    <row r="56" spans="1:16" x14ac:dyDescent="0.25">
      <c r="A56" s="549" t="s">
        <v>677</v>
      </c>
      <c r="B56" s="550" t="s">
        <v>28</v>
      </c>
      <c r="C56" s="556"/>
      <c r="D56" s="552"/>
      <c r="E56" s="552"/>
      <c r="F56" s="552"/>
      <c r="G56" s="552"/>
      <c r="H56" s="552"/>
      <c r="I56" s="552"/>
      <c r="J56" s="552"/>
      <c r="K56" s="553"/>
      <c r="L56" s="553"/>
      <c r="M56" s="553"/>
      <c r="N56" s="560"/>
      <c r="O56" s="546"/>
      <c r="P56" s="554">
        <f>P24</f>
        <v>79571</v>
      </c>
    </row>
    <row r="57" spans="1:16" x14ac:dyDescent="0.25">
      <c r="A57" s="549" t="s">
        <v>678</v>
      </c>
      <c r="B57" s="550" t="s">
        <v>6</v>
      </c>
      <c r="C57" s="556"/>
      <c r="D57" s="552"/>
      <c r="E57" s="552"/>
      <c r="F57" s="552"/>
      <c r="G57" s="552"/>
      <c r="H57" s="552"/>
      <c r="I57" s="552"/>
      <c r="J57" s="552"/>
      <c r="K57" s="553"/>
      <c r="L57" s="553"/>
      <c r="M57" s="553"/>
      <c r="N57" s="560"/>
      <c r="O57" s="546"/>
      <c r="P57" s="547">
        <f>P42</f>
        <v>258677.83559999987</v>
      </c>
    </row>
    <row r="58" spans="1:16" x14ac:dyDescent="0.25">
      <c r="A58" s="549" t="s">
        <v>679</v>
      </c>
      <c r="B58" s="550" t="s">
        <v>5</v>
      </c>
      <c r="C58" s="556"/>
      <c r="D58" s="552"/>
      <c r="E58" s="552"/>
      <c r="F58" s="552"/>
      <c r="G58" s="552"/>
      <c r="H58" s="552"/>
      <c r="I58" s="552"/>
      <c r="J58" s="552"/>
      <c r="K58" s="553"/>
      <c r="L58" s="553"/>
      <c r="M58" s="553"/>
      <c r="N58" s="560"/>
      <c r="O58" s="546"/>
      <c r="P58" s="547">
        <f>P41</f>
        <v>59239.323199999984</v>
      </c>
    </row>
    <row r="59" spans="1:16" x14ac:dyDescent="0.25">
      <c r="A59" s="621" t="s">
        <v>87</v>
      </c>
      <c r="B59" s="622"/>
      <c r="C59" s="556"/>
      <c r="D59" s="552"/>
      <c r="E59" s="552"/>
      <c r="F59" s="552"/>
      <c r="G59" s="552"/>
      <c r="H59" s="552"/>
      <c r="I59" s="552"/>
      <c r="J59" s="552"/>
      <c r="K59" s="553"/>
      <c r="L59" s="553"/>
      <c r="M59" s="553"/>
      <c r="N59" s="560"/>
      <c r="O59" s="546"/>
      <c r="P59" s="547">
        <f>P54+P57+P58</f>
        <v>573499.74879999983</v>
      </c>
    </row>
    <row r="60" spans="1:16" s="566" customFormat="1" x14ac:dyDescent="0.25">
      <c r="A60" s="541"/>
      <c r="B60" s="565" t="s">
        <v>61</v>
      </c>
      <c r="C60" s="545">
        <f>D60/C4/12</f>
        <v>19.047221122215124</v>
      </c>
      <c r="D60" s="545">
        <f>D9+D13+D22+D40+D41+D42+D43</f>
        <v>1466049.3720000002</v>
      </c>
      <c r="E60" s="545">
        <f>F60/E4/12</f>
        <v>19.544501933403261</v>
      </c>
      <c r="F60" s="545">
        <f>F9+F13+F22+F40+F41+F42+F43</f>
        <v>1498132.98</v>
      </c>
      <c r="G60" s="545">
        <f>H60/G4/12</f>
        <v>20.013596744503886</v>
      </c>
      <c r="H60" s="545">
        <f>H9+H13+H22+H40+H41+H42+H43</f>
        <v>1560416.9087999999</v>
      </c>
      <c r="I60" s="545">
        <f>J60/I4/9</f>
        <v>21.772746657745937</v>
      </c>
      <c r="J60" s="545">
        <f>J9+J13+J22+J40+J41+J42+J43</f>
        <v>4703699.0564999999</v>
      </c>
      <c r="K60" s="546">
        <f>K9+K13+K22+K40+K41+K42</f>
        <v>8448342.657300001</v>
      </c>
      <c r="L60" s="546">
        <f>L9+L13+L22+L40+L41+L42</f>
        <v>8138243.9500000002</v>
      </c>
      <c r="M60" s="546">
        <f>M9+M13+M22+M40+M41+M42</f>
        <v>247406.5696080123</v>
      </c>
      <c r="N60" s="546">
        <f>N9+N13+N22+N40+N41+N42</f>
        <v>50320.140032464304</v>
      </c>
      <c r="O60" s="546">
        <f>O9+O13+O22+O40+O41+O42</f>
        <v>8435970.6596404761</v>
      </c>
      <c r="P60" s="547">
        <f t="shared" si="3"/>
        <v>12371.997659524903</v>
      </c>
    </row>
    <row r="61" spans="1:16" s="521" customFormat="1" ht="16.5" customHeight="1" x14ac:dyDescent="0.25">
      <c r="A61" s="567"/>
      <c r="B61" s="514"/>
      <c r="C61" s="517"/>
      <c r="D61" s="568"/>
      <c r="E61" s="517"/>
      <c r="F61" s="517"/>
      <c r="G61" s="517"/>
      <c r="H61" s="517"/>
      <c r="I61" s="517"/>
      <c r="J61" s="517"/>
      <c r="K61" s="517"/>
      <c r="L61" s="518"/>
      <c r="M61" s="518"/>
      <c r="N61" s="518"/>
      <c r="O61" s="518"/>
      <c r="P61" s="518"/>
    </row>
    <row r="62" spans="1:16" s="521" customFormat="1" ht="19.5" hidden="1" customHeight="1" x14ac:dyDescent="0.25">
      <c r="A62" s="567"/>
      <c r="B62" s="514"/>
      <c r="C62" s="517"/>
      <c r="D62" s="568"/>
      <c r="E62" s="517"/>
      <c r="F62" s="517"/>
      <c r="G62" s="517"/>
      <c r="H62" s="517"/>
      <c r="I62" s="517"/>
      <c r="J62" s="517"/>
      <c r="K62" s="517"/>
      <c r="L62" s="518"/>
      <c r="M62" s="518"/>
      <c r="N62" s="518"/>
      <c r="O62" s="518"/>
      <c r="P62" s="518"/>
    </row>
    <row r="63" spans="1:16" s="577" customFormat="1" ht="12" hidden="1" customHeight="1" x14ac:dyDescent="0.25">
      <c r="A63" s="569"/>
      <c r="B63" s="570" t="s">
        <v>64</v>
      </c>
      <c r="C63" s="571"/>
      <c r="D63" s="572" t="s">
        <v>62</v>
      </c>
      <c r="E63" s="573"/>
      <c r="F63" s="574">
        <f>D60+F60+H60</f>
        <v>4524599.2608000003</v>
      </c>
      <c r="G63" s="575"/>
      <c r="H63" s="575"/>
      <c r="I63" s="571" t="s">
        <v>63</v>
      </c>
      <c r="J63" s="574">
        <f>J60</f>
        <v>4703699.0564999999</v>
      </c>
      <c r="K63" s="576">
        <f>F63+J63</f>
        <v>9228298.3172999993</v>
      </c>
      <c r="L63" s="576"/>
      <c r="M63" s="576"/>
      <c r="N63" s="576"/>
      <c r="O63" s="576"/>
      <c r="P63" s="576"/>
    </row>
    <row r="64" spans="1:16" s="577" customFormat="1" ht="12" hidden="1" customHeight="1" x14ac:dyDescent="0.25">
      <c r="A64" s="569"/>
      <c r="B64" s="570"/>
      <c r="C64" s="578"/>
      <c r="D64" s="579"/>
      <c r="E64" s="578"/>
      <c r="F64" s="580"/>
      <c r="G64" s="575"/>
      <c r="H64" s="575"/>
      <c r="I64" s="578"/>
      <c r="J64" s="580"/>
      <c r="K64" s="576"/>
      <c r="L64" s="576"/>
      <c r="M64" s="576"/>
      <c r="N64" s="576"/>
      <c r="O64" s="576"/>
      <c r="P64" s="576"/>
    </row>
    <row r="65" spans="1:16" s="577" customFormat="1" ht="12" hidden="1" customHeight="1" x14ac:dyDescent="0.25">
      <c r="A65" s="623" t="s">
        <v>112</v>
      </c>
      <c r="B65" s="623"/>
      <c r="C65" s="623"/>
      <c r="D65" s="623"/>
      <c r="E65" s="623"/>
      <c r="F65" s="623"/>
      <c r="G65" s="623"/>
      <c r="H65" s="575"/>
      <c r="I65" s="578"/>
      <c r="J65" s="580"/>
      <c r="K65" s="576"/>
      <c r="L65" s="576"/>
      <c r="M65" s="576"/>
      <c r="N65" s="576"/>
      <c r="O65" s="576"/>
      <c r="P65" s="576"/>
    </row>
    <row r="66" spans="1:16" s="521" customFormat="1" hidden="1" x14ac:dyDescent="0.25">
      <c r="A66" s="567"/>
      <c r="B66" s="514"/>
      <c r="C66" s="517"/>
      <c r="D66" s="568"/>
      <c r="E66" s="517"/>
      <c r="F66" s="517"/>
      <c r="G66" s="517"/>
      <c r="H66" s="517"/>
      <c r="I66" s="517"/>
      <c r="J66" s="517"/>
      <c r="K66" s="517"/>
      <c r="L66" s="518"/>
      <c r="M66" s="518"/>
      <c r="N66" s="518"/>
      <c r="O66" s="518"/>
      <c r="P66" s="518"/>
    </row>
    <row r="67" spans="1:16" s="585" customFormat="1" ht="47.25" hidden="1" x14ac:dyDescent="0.25">
      <c r="A67" s="581" t="s">
        <v>96</v>
      </c>
      <c r="B67" s="582" t="s">
        <v>41</v>
      </c>
      <c r="C67" s="583" t="s">
        <v>98</v>
      </c>
      <c r="D67" s="584" t="s">
        <v>99</v>
      </c>
      <c r="E67" s="583" t="s">
        <v>100</v>
      </c>
      <c r="F67" s="583" t="s">
        <v>104</v>
      </c>
      <c r="G67" s="583" t="s">
        <v>105</v>
      </c>
      <c r="H67" s="517"/>
      <c r="I67" s="517"/>
      <c r="J67" s="517"/>
      <c r="K67" s="517"/>
      <c r="L67" s="518"/>
      <c r="M67" s="518"/>
      <c r="N67" s="518"/>
      <c r="O67" s="518"/>
      <c r="P67" s="518"/>
    </row>
    <row r="68" spans="1:16" s="585" customFormat="1" hidden="1" x14ac:dyDescent="0.25">
      <c r="A68" s="581" t="s">
        <v>13</v>
      </c>
      <c r="B68" s="582" t="s">
        <v>103</v>
      </c>
      <c r="C68" s="583" t="s">
        <v>67</v>
      </c>
      <c r="D68" s="584">
        <v>3000</v>
      </c>
      <c r="E68" s="583">
        <f>D68*8</f>
        <v>24000</v>
      </c>
      <c r="F68" s="583"/>
      <c r="G68" s="583"/>
      <c r="H68" s="517"/>
      <c r="I68" s="517"/>
      <c r="J68" s="517"/>
      <c r="K68" s="517"/>
      <c r="L68" s="518"/>
      <c r="M68" s="518"/>
      <c r="N68" s="518"/>
      <c r="O68" s="518"/>
      <c r="P68" s="518"/>
    </row>
    <row r="69" spans="1:16" s="585" customFormat="1" hidden="1" x14ac:dyDescent="0.25">
      <c r="A69" s="581" t="s">
        <v>14</v>
      </c>
      <c r="B69" s="582" t="s">
        <v>97</v>
      </c>
      <c r="C69" s="583" t="s">
        <v>67</v>
      </c>
      <c r="D69" s="584">
        <v>3000</v>
      </c>
      <c r="E69" s="583">
        <f>D69*12+9700</f>
        <v>45700</v>
      </c>
      <c r="F69" s="583"/>
      <c r="G69" s="583"/>
      <c r="H69" s="517"/>
      <c r="I69" s="517"/>
      <c r="J69" s="517"/>
      <c r="K69" s="517"/>
      <c r="L69" s="518"/>
      <c r="M69" s="518"/>
      <c r="N69" s="518"/>
      <c r="O69" s="518"/>
      <c r="P69" s="518"/>
    </row>
    <row r="70" spans="1:16" s="585" customFormat="1" hidden="1" x14ac:dyDescent="0.25">
      <c r="A70" s="581" t="s">
        <v>15</v>
      </c>
      <c r="B70" s="582" t="s">
        <v>101</v>
      </c>
      <c r="C70" s="583" t="s">
        <v>67</v>
      </c>
      <c r="D70" s="584">
        <v>3000</v>
      </c>
      <c r="E70" s="583">
        <f>D70*12</f>
        <v>36000</v>
      </c>
      <c r="F70" s="583"/>
      <c r="G70" s="583"/>
      <c r="H70" s="517"/>
      <c r="I70" s="517"/>
      <c r="J70" s="517"/>
      <c r="K70" s="517"/>
      <c r="L70" s="518"/>
      <c r="M70" s="518"/>
      <c r="N70" s="518"/>
      <c r="O70" s="518"/>
      <c r="P70" s="518"/>
    </row>
    <row r="71" spans="1:16" s="585" customFormat="1" hidden="1" x14ac:dyDescent="0.25">
      <c r="A71" s="581" t="s">
        <v>16</v>
      </c>
      <c r="B71" s="582" t="s">
        <v>102</v>
      </c>
      <c r="C71" s="583" t="s">
        <v>67</v>
      </c>
      <c r="D71" s="584">
        <v>1674</v>
      </c>
      <c r="E71" s="583">
        <f>D71*12</f>
        <v>20088</v>
      </c>
      <c r="F71" s="583"/>
      <c r="G71" s="583"/>
      <c r="H71" s="517"/>
      <c r="I71" s="517"/>
      <c r="J71" s="517"/>
      <c r="K71" s="517"/>
      <c r="L71" s="518"/>
      <c r="M71" s="518"/>
      <c r="N71" s="518"/>
      <c r="O71" s="518"/>
      <c r="P71" s="518"/>
    </row>
    <row r="72" spans="1:16" s="585" customFormat="1" hidden="1" x14ac:dyDescent="0.25">
      <c r="A72" s="581"/>
      <c r="B72" s="582"/>
      <c r="C72" s="583"/>
      <c r="D72" s="584"/>
      <c r="E72" s="583">
        <f>SUM(E68:E71)</f>
        <v>125788</v>
      </c>
      <c r="F72" s="583">
        <v>17830</v>
      </c>
      <c r="G72" s="583">
        <f>E72-F72</f>
        <v>107958</v>
      </c>
      <c r="H72" s="517"/>
      <c r="I72" s="517"/>
      <c r="J72" s="517"/>
      <c r="K72" s="517"/>
      <c r="L72" s="518"/>
      <c r="M72" s="518"/>
      <c r="N72" s="518"/>
      <c r="O72" s="518"/>
      <c r="P72" s="518"/>
    </row>
    <row r="73" spans="1:16" s="585" customFormat="1" hidden="1" x14ac:dyDescent="0.25">
      <c r="A73" s="581" t="s">
        <v>13</v>
      </c>
      <c r="B73" s="582" t="s">
        <v>103</v>
      </c>
      <c r="C73" s="583">
        <v>86</v>
      </c>
      <c r="E73" s="584">
        <f>3500*5</f>
        <v>17500</v>
      </c>
      <c r="F73" s="583"/>
      <c r="G73" s="583"/>
      <c r="H73" s="517"/>
      <c r="I73" s="517"/>
      <c r="J73" s="517"/>
      <c r="K73" s="517"/>
      <c r="L73" s="518"/>
      <c r="M73" s="518"/>
      <c r="N73" s="518"/>
      <c r="O73" s="518"/>
      <c r="P73" s="518"/>
    </row>
    <row r="74" spans="1:16" s="585" customFormat="1" hidden="1" x14ac:dyDescent="0.25">
      <c r="A74" s="581" t="s">
        <v>14</v>
      </c>
      <c r="B74" s="582" t="s">
        <v>106</v>
      </c>
      <c r="C74" s="583">
        <v>86</v>
      </c>
      <c r="D74" s="586"/>
      <c r="E74" s="583">
        <v>9000</v>
      </c>
      <c r="F74" s="583"/>
      <c r="G74" s="583"/>
      <c r="H74" s="517"/>
      <c r="I74" s="517"/>
      <c r="J74" s="517"/>
      <c r="K74" s="517"/>
      <c r="L74" s="518"/>
      <c r="M74" s="518"/>
      <c r="N74" s="518"/>
      <c r="O74" s="518"/>
      <c r="P74" s="518"/>
    </row>
    <row r="75" spans="1:16" s="521" customFormat="1" hidden="1" x14ac:dyDescent="0.25">
      <c r="A75" s="581" t="s">
        <v>15</v>
      </c>
      <c r="B75" s="582" t="s">
        <v>107</v>
      </c>
      <c r="C75" s="583">
        <v>86</v>
      </c>
      <c r="D75" s="584">
        <v>500</v>
      </c>
      <c r="E75" s="583">
        <f>D75*5</f>
        <v>2500</v>
      </c>
      <c r="F75" s="583"/>
      <c r="G75" s="583"/>
      <c r="H75" s="517"/>
      <c r="I75" s="517"/>
      <c r="J75" s="517"/>
      <c r="K75" s="517"/>
      <c r="L75" s="518"/>
      <c r="M75" s="518"/>
      <c r="N75" s="518"/>
      <c r="O75" s="518"/>
      <c r="P75" s="518"/>
    </row>
    <row r="76" spans="1:16" s="521" customFormat="1" hidden="1" x14ac:dyDescent="0.25">
      <c r="A76" s="581" t="s">
        <v>16</v>
      </c>
      <c r="B76" s="582" t="s">
        <v>108</v>
      </c>
      <c r="C76" s="583">
        <v>86</v>
      </c>
      <c r="D76" s="584">
        <v>500</v>
      </c>
      <c r="E76" s="583">
        <f>D76*5</f>
        <v>2500</v>
      </c>
      <c r="F76" s="583"/>
      <c r="G76" s="583"/>
      <c r="H76" s="517"/>
      <c r="I76" s="517"/>
      <c r="J76" s="517"/>
      <c r="K76" s="517"/>
      <c r="L76" s="518"/>
      <c r="M76" s="518"/>
      <c r="N76" s="518"/>
      <c r="O76" s="518"/>
      <c r="P76" s="518"/>
    </row>
    <row r="77" spans="1:16" s="521" customFormat="1" hidden="1" x14ac:dyDescent="0.25">
      <c r="A77" s="581" t="s">
        <v>17</v>
      </c>
      <c r="B77" s="582" t="s">
        <v>109</v>
      </c>
      <c r="C77" s="583">
        <v>86</v>
      </c>
      <c r="D77" s="584">
        <v>500</v>
      </c>
      <c r="E77" s="583">
        <f>D77*5</f>
        <v>2500</v>
      </c>
      <c r="F77" s="583"/>
      <c r="G77" s="583"/>
      <c r="H77" s="517"/>
      <c r="I77" s="517"/>
      <c r="J77" s="517"/>
      <c r="K77" s="517"/>
      <c r="L77" s="518"/>
      <c r="M77" s="518"/>
      <c r="N77" s="518"/>
      <c r="O77" s="518"/>
      <c r="P77" s="518"/>
    </row>
    <row r="78" spans="1:16" s="521" customFormat="1" hidden="1" x14ac:dyDescent="0.25">
      <c r="A78" s="581" t="s">
        <v>18</v>
      </c>
      <c r="B78" s="582" t="s">
        <v>110</v>
      </c>
      <c r="C78" s="583">
        <v>86</v>
      </c>
      <c r="D78" s="584">
        <v>500</v>
      </c>
      <c r="E78" s="583">
        <f>D78*4</f>
        <v>2000</v>
      </c>
      <c r="F78" s="583"/>
      <c r="G78" s="583"/>
      <c r="H78" s="517"/>
      <c r="I78" s="517"/>
      <c r="J78" s="517"/>
      <c r="K78" s="517"/>
      <c r="L78" s="518"/>
      <c r="M78" s="518"/>
      <c r="N78" s="518"/>
      <c r="O78" s="518"/>
      <c r="P78" s="518"/>
    </row>
    <row r="79" spans="1:16" s="521" customFormat="1" hidden="1" x14ac:dyDescent="0.25">
      <c r="A79" s="581" t="s">
        <v>57</v>
      </c>
      <c r="B79" s="582" t="s">
        <v>111</v>
      </c>
      <c r="C79" s="583">
        <v>86</v>
      </c>
      <c r="D79" s="584">
        <v>10000</v>
      </c>
      <c r="E79" s="583">
        <f>D79*1.5</f>
        <v>15000</v>
      </c>
      <c r="F79" s="583"/>
      <c r="G79" s="583"/>
      <c r="H79" s="517"/>
      <c r="I79" s="517"/>
      <c r="J79" s="517"/>
      <c r="K79" s="517"/>
      <c r="L79" s="518"/>
      <c r="M79" s="518"/>
      <c r="N79" s="518"/>
      <c r="O79" s="518"/>
      <c r="P79" s="518"/>
    </row>
    <row r="80" spans="1:16" s="521" customFormat="1" hidden="1" x14ac:dyDescent="0.25">
      <c r="A80" s="581" t="s">
        <v>84</v>
      </c>
      <c r="B80" s="582" t="s">
        <v>222</v>
      </c>
      <c r="C80" s="583">
        <v>86</v>
      </c>
      <c r="D80" s="584">
        <v>550</v>
      </c>
      <c r="E80" s="583">
        <f>D80*4</f>
        <v>2200</v>
      </c>
      <c r="F80" s="583"/>
      <c r="G80" s="583"/>
      <c r="H80" s="517"/>
      <c r="I80" s="517"/>
      <c r="J80" s="517"/>
      <c r="K80" s="517"/>
      <c r="L80" s="518"/>
      <c r="M80" s="518"/>
      <c r="N80" s="518"/>
      <c r="O80" s="518"/>
      <c r="P80" s="518"/>
    </row>
    <row r="81" spans="1:16" s="521" customFormat="1" hidden="1" x14ac:dyDescent="0.25">
      <c r="A81" s="581"/>
      <c r="B81" s="582"/>
      <c r="C81" s="583"/>
      <c r="D81" s="584"/>
      <c r="E81" s="584">
        <f>SUM(E73:E80)</f>
        <v>53200</v>
      </c>
      <c r="F81" s="583"/>
      <c r="G81" s="583">
        <f>E81-F81</f>
        <v>53200</v>
      </c>
      <c r="H81" s="517"/>
      <c r="I81" s="517"/>
      <c r="J81" s="517"/>
      <c r="K81" s="517"/>
      <c r="L81" s="518"/>
      <c r="M81" s="518"/>
      <c r="N81" s="518"/>
      <c r="O81" s="518"/>
      <c r="P81" s="518"/>
    </row>
    <row r="82" spans="1:16" s="521" customFormat="1" x14ac:dyDescent="0.25">
      <c r="A82" s="567"/>
      <c r="B82" s="514" t="s">
        <v>788</v>
      </c>
      <c r="C82" s="517"/>
      <c r="D82" s="568"/>
      <c r="E82" s="517"/>
      <c r="F82" s="517"/>
      <c r="G82" s="517"/>
      <c r="H82" s="517"/>
      <c r="I82" s="517"/>
      <c r="J82" s="517"/>
      <c r="K82" s="517"/>
      <c r="L82" s="518"/>
      <c r="M82" s="518"/>
      <c r="N82" s="518"/>
      <c r="O82" s="518" t="s">
        <v>789</v>
      </c>
      <c r="P82" s="518"/>
    </row>
    <row r="83" spans="1:16" s="521" customFormat="1" x14ac:dyDescent="0.25">
      <c r="A83" s="567"/>
      <c r="B83" s="514"/>
      <c r="C83" s="517"/>
      <c r="D83" s="568"/>
      <c r="E83" s="517"/>
      <c r="F83" s="517"/>
      <c r="G83" s="517"/>
      <c r="H83" s="517"/>
      <c r="I83" s="517"/>
      <c r="J83" s="517"/>
      <c r="K83" s="517"/>
      <c r="L83" s="518"/>
      <c r="M83" s="518"/>
      <c r="N83" s="518"/>
      <c r="O83" s="518"/>
      <c r="P83" s="518"/>
    </row>
    <row r="84" spans="1:16" s="521" customFormat="1" x14ac:dyDescent="0.25">
      <c r="A84" s="567"/>
      <c r="B84" s="514"/>
      <c r="C84" s="517"/>
      <c r="D84" s="568"/>
      <c r="E84" s="517"/>
      <c r="F84" s="517"/>
      <c r="G84" s="517"/>
      <c r="H84" s="517"/>
      <c r="I84" s="517"/>
      <c r="J84" s="517"/>
      <c r="K84" s="517"/>
      <c r="L84" s="518"/>
      <c r="M84" s="518"/>
      <c r="N84" s="518"/>
      <c r="O84" s="518"/>
      <c r="P84" s="518"/>
    </row>
    <row r="85" spans="1:16" s="521" customFormat="1" x14ac:dyDescent="0.25">
      <c r="A85" s="567"/>
      <c r="B85" s="514"/>
      <c r="C85" s="517"/>
      <c r="D85" s="568"/>
      <c r="E85" s="517"/>
      <c r="F85" s="517"/>
      <c r="G85" s="517"/>
      <c r="H85" s="517"/>
      <c r="I85" s="517"/>
      <c r="J85" s="517"/>
      <c r="K85" s="517"/>
      <c r="L85" s="518"/>
      <c r="M85" s="518"/>
      <c r="N85" s="518"/>
      <c r="O85" s="518"/>
      <c r="P85" s="518"/>
    </row>
    <row r="86" spans="1:16" s="521" customFormat="1" x14ac:dyDescent="0.25">
      <c r="A86" s="567"/>
      <c r="B86" s="514"/>
      <c r="C86" s="517"/>
      <c r="D86" s="568"/>
      <c r="E86" s="517"/>
      <c r="F86" s="517"/>
      <c r="G86" s="517"/>
      <c r="H86" s="517"/>
      <c r="I86" s="517"/>
      <c r="J86" s="517"/>
      <c r="K86" s="517"/>
      <c r="L86" s="518"/>
      <c r="M86" s="518"/>
      <c r="N86" s="518"/>
      <c r="O86" s="518"/>
      <c r="P86" s="518"/>
    </row>
    <row r="87" spans="1:16" s="521" customFormat="1" x14ac:dyDescent="0.25">
      <c r="A87" s="567"/>
      <c r="B87" s="514"/>
      <c r="C87" s="517"/>
      <c r="D87" s="568"/>
      <c r="E87" s="517"/>
      <c r="F87" s="517"/>
      <c r="G87" s="517"/>
      <c r="H87" s="517"/>
      <c r="I87" s="517"/>
      <c r="J87" s="517"/>
      <c r="K87" s="517"/>
      <c r="L87" s="518"/>
      <c r="M87" s="518"/>
      <c r="N87" s="518"/>
      <c r="O87" s="518"/>
      <c r="P87" s="518"/>
    </row>
    <row r="88" spans="1:16" s="585" customFormat="1" x14ac:dyDescent="0.25">
      <c r="A88" s="587"/>
      <c r="B88" s="588"/>
      <c r="C88" s="515"/>
      <c r="D88" s="516"/>
      <c r="E88" s="515"/>
      <c r="F88" s="515"/>
      <c r="G88" s="515"/>
      <c r="H88" s="515"/>
      <c r="I88" s="515"/>
      <c r="J88" s="515"/>
      <c r="K88" s="517"/>
      <c r="L88" s="518"/>
      <c r="M88" s="518"/>
      <c r="N88" s="518"/>
      <c r="O88" s="518"/>
      <c r="P88" s="589"/>
    </row>
    <row r="89" spans="1:16" s="585" customFormat="1" x14ac:dyDescent="0.25">
      <c r="A89" s="587"/>
      <c r="B89" s="588"/>
      <c r="C89" s="515"/>
      <c r="D89" s="516"/>
      <c r="E89" s="515"/>
      <c r="F89" s="515"/>
      <c r="G89" s="515"/>
      <c r="H89" s="515"/>
      <c r="I89" s="515"/>
      <c r="J89" s="515"/>
      <c r="K89" s="517"/>
      <c r="L89" s="518"/>
      <c r="M89" s="518"/>
      <c r="N89" s="518"/>
      <c r="O89" s="518"/>
      <c r="P89" s="589"/>
    </row>
    <row r="90" spans="1:16" s="585" customFormat="1" x14ac:dyDescent="0.25">
      <c r="A90" s="587"/>
      <c r="B90" s="588"/>
      <c r="C90" s="515"/>
      <c r="D90" s="516"/>
      <c r="E90" s="515"/>
      <c r="F90" s="515"/>
      <c r="G90" s="515"/>
      <c r="H90" s="515"/>
      <c r="I90" s="515"/>
      <c r="J90" s="515"/>
      <c r="K90" s="517"/>
      <c r="L90" s="518"/>
      <c r="M90" s="518"/>
      <c r="N90" s="518"/>
      <c r="O90" s="518"/>
      <c r="P90" s="589"/>
    </row>
    <row r="91" spans="1:16" s="585" customFormat="1" ht="6" customHeight="1" x14ac:dyDescent="0.25">
      <c r="A91" s="587"/>
      <c r="B91" s="588"/>
      <c r="C91" s="515"/>
      <c r="D91" s="516"/>
      <c r="E91" s="515"/>
      <c r="F91" s="515"/>
      <c r="G91" s="515"/>
      <c r="H91" s="515"/>
      <c r="I91" s="515"/>
      <c r="J91" s="515"/>
      <c r="K91" s="517"/>
      <c r="L91" s="518"/>
      <c r="M91" s="518"/>
      <c r="N91" s="518"/>
      <c r="O91" s="518"/>
      <c r="P91" s="589"/>
    </row>
    <row r="92" spans="1:16" s="585" customFormat="1" ht="12" hidden="1" customHeight="1" x14ac:dyDescent="0.25">
      <c r="A92" s="587"/>
      <c r="B92" s="588"/>
      <c r="C92" s="515"/>
      <c r="D92" s="516"/>
      <c r="E92" s="515"/>
      <c r="F92" s="515"/>
      <c r="G92" s="515"/>
      <c r="H92" s="515"/>
      <c r="I92" s="515"/>
      <c r="J92" s="515"/>
      <c r="K92" s="517"/>
      <c r="L92" s="518"/>
      <c r="M92" s="518"/>
      <c r="N92" s="518"/>
      <c r="O92" s="518"/>
      <c r="P92" s="589"/>
    </row>
    <row r="93" spans="1:16" s="585" customFormat="1" ht="11.25" customHeight="1" x14ac:dyDescent="0.25">
      <c r="A93" s="587"/>
      <c r="B93" s="588"/>
      <c r="C93" s="515"/>
      <c r="D93" s="516"/>
      <c r="E93" s="515"/>
      <c r="F93" s="515"/>
      <c r="G93" s="515"/>
      <c r="H93" s="515"/>
      <c r="I93" s="515"/>
      <c r="J93" s="515"/>
      <c r="K93" s="517"/>
      <c r="L93" s="518"/>
      <c r="M93" s="518"/>
      <c r="N93" s="518"/>
      <c r="O93" s="518"/>
      <c r="P93" s="589"/>
    </row>
    <row r="94" spans="1:16" s="521" customFormat="1" x14ac:dyDescent="0.25">
      <c r="A94" s="567"/>
      <c r="B94" s="514"/>
      <c r="C94" s="517"/>
      <c r="D94" s="568"/>
      <c r="E94" s="517"/>
      <c r="F94" s="517"/>
      <c r="G94" s="517"/>
      <c r="H94" s="517"/>
      <c r="I94" s="517"/>
      <c r="J94" s="517"/>
      <c r="K94" s="517"/>
      <c r="L94" s="518"/>
      <c r="M94" s="518"/>
      <c r="N94" s="518"/>
      <c r="O94" s="518"/>
      <c r="P94" s="518"/>
    </row>
  </sheetData>
  <mergeCells count="17">
    <mergeCell ref="A2:P2"/>
    <mergeCell ref="C3:D3"/>
    <mergeCell ref="E3:F3"/>
    <mergeCell ref="G3:H3"/>
    <mergeCell ref="I3:J3"/>
    <mergeCell ref="L3:L7"/>
    <mergeCell ref="M3:M7"/>
    <mergeCell ref="N3:N7"/>
    <mergeCell ref="C4:D4"/>
    <mergeCell ref="E4:F4"/>
    <mergeCell ref="C6:H6"/>
    <mergeCell ref="C5:H5"/>
    <mergeCell ref="I4:J4"/>
    <mergeCell ref="G4:H4"/>
    <mergeCell ref="A59:B59"/>
    <mergeCell ref="A65:G65"/>
    <mergeCell ref="A52:B52"/>
  </mergeCells>
  <printOptions horizontalCentered="1"/>
  <pageMargins left="0.11811023622047245" right="0.11811023622047245" top="0.15748031496062992" bottom="0.15748031496062992" header="0" footer="0"/>
  <pageSetup paperSize="9" scale="76" orientation="portrait" r:id="rId1"/>
  <rowBreaks count="1" manualBreakCount="1">
    <brk id="8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121"/>
  <sheetViews>
    <sheetView workbookViewId="0">
      <selection activeCell="B104" sqref="B104"/>
    </sheetView>
  </sheetViews>
  <sheetFormatPr defaultRowHeight="12" x14ac:dyDescent="0.25"/>
  <cols>
    <col min="1" max="1" width="5.5703125" style="21" customWidth="1"/>
    <col min="2" max="2" width="17.28515625" style="7" customWidth="1"/>
    <col min="3" max="3" width="9.5703125" style="8" customWidth="1"/>
    <col min="4" max="4" width="10.140625" style="9" customWidth="1"/>
    <col min="5" max="5" width="9.28515625" style="8" customWidth="1"/>
    <col min="6" max="6" width="9.7109375" style="8" customWidth="1"/>
    <col min="7" max="7" width="8.28515625" style="8" customWidth="1"/>
    <col min="8" max="8" width="10.28515625" style="8" customWidth="1"/>
    <col min="9" max="9" width="8.85546875" style="8" hidden="1" customWidth="1"/>
    <col min="10" max="10" width="9.85546875" style="8" hidden="1" customWidth="1"/>
    <col min="11" max="11" width="12.28515625" style="37" customWidth="1"/>
    <col min="12" max="15" width="11.7109375" style="10" customWidth="1"/>
    <col min="16" max="16" width="13.140625" style="53" customWidth="1"/>
    <col min="17" max="16384" width="9.140625" style="12"/>
  </cols>
  <sheetData>
    <row r="1" spans="1:16" s="11" customFormat="1" ht="18.75" customHeight="1" x14ac:dyDescent="0.25">
      <c r="A1" s="6"/>
      <c r="B1" s="638" t="s">
        <v>116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</row>
    <row r="2" spans="1:16" ht="35.25" customHeight="1" x14ac:dyDescent="0.25">
      <c r="A2" s="590" t="s">
        <v>12</v>
      </c>
      <c r="B2" s="615" t="s">
        <v>37</v>
      </c>
      <c r="C2" s="615"/>
      <c r="D2" s="615"/>
      <c r="E2" s="615"/>
      <c r="F2" s="615"/>
      <c r="G2" s="615"/>
      <c r="H2" s="615"/>
      <c r="I2" s="615"/>
      <c r="J2" s="615"/>
      <c r="K2" s="615"/>
      <c r="L2" s="616" t="s">
        <v>38</v>
      </c>
      <c r="M2" s="617"/>
      <c r="N2" s="617"/>
      <c r="O2" s="618"/>
      <c r="P2" s="604" t="s">
        <v>181</v>
      </c>
    </row>
    <row r="3" spans="1:16" ht="12" customHeight="1" x14ac:dyDescent="0.25">
      <c r="A3" s="590"/>
      <c r="B3" s="605" t="s">
        <v>7</v>
      </c>
      <c r="C3" s="597" t="s">
        <v>9</v>
      </c>
      <c r="D3" s="598"/>
      <c r="E3" s="608" t="s">
        <v>10</v>
      </c>
      <c r="F3" s="608"/>
      <c r="G3" s="608" t="s">
        <v>11</v>
      </c>
      <c r="H3" s="608"/>
      <c r="I3" s="594" t="s">
        <v>58</v>
      </c>
      <c r="J3" s="595"/>
      <c r="K3" s="596" t="s">
        <v>220</v>
      </c>
      <c r="L3" s="600" t="s">
        <v>70</v>
      </c>
      <c r="M3" s="609" t="s">
        <v>71</v>
      </c>
      <c r="N3" s="609" t="s">
        <v>72</v>
      </c>
      <c r="O3" s="612" t="s">
        <v>73</v>
      </c>
      <c r="P3" s="604"/>
    </row>
    <row r="4" spans="1:16" ht="12" customHeight="1" x14ac:dyDescent="0.25">
      <c r="A4" s="590"/>
      <c r="B4" s="606"/>
      <c r="C4" s="597">
        <v>6414.1</v>
      </c>
      <c r="D4" s="598"/>
      <c r="E4" s="594">
        <v>6387.7</v>
      </c>
      <c r="F4" s="595"/>
      <c r="G4" s="594">
        <v>6497.32</v>
      </c>
      <c r="H4" s="595"/>
      <c r="I4" s="594">
        <v>24004.01</v>
      </c>
      <c r="J4" s="595"/>
      <c r="K4" s="596"/>
      <c r="L4" s="601"/>
      <c r="M4" s="610"/>
      <c r="N4" s="610"/>
      <c r="O4" s="613"/>
      <c r="P4" s="604"/>
    </row>
    <row r="5" spans="1:16" ht="12" customHeight="1" x14ac:dyDescent="0.25">
      <c r="A5" s="590"/>
      <c r="B5" s="606"/>
      <c r="C5" s="597">
        <f>C4+E4+G4</f>
        <v>19299.12</v>
      </c>
      <c r="D5" s="599"/>
      <c r="E5" s="599"/>
      <c r="F5" s="599"/>
      <c r="G5" s="599"/>
      <c r="H5" s="598"/>
      <c r="I5" s="78"/>
      <c r="J5" s="74"/>
      <c r="K5" s="596"/>
      <c r="L5" s="601"/>
      <c r="M5" s="610"/>
      <c r="N5" s="610"/>
      <c r="O5" s="613"/>
      <c r="P5" s="604"/>
    </row>
    <row r="6" spans="1:16" ht="12" customHeight="1" x14ac:dyDescent="0.25">
      <c r="A6" s="590"/>
      <c r="B6" s="606"/>
      <c r="C6" s="597">
        <f>C4+E4+G4+I4</f>
        <v>43303.13</v>
      </c>
      <c r="D6" s="599"/>
      <c r="E6" s="599"/>
      <c r="F6" s="599"/>
      <c r="G6" s="599"/>
      <c r="H6" s="599"/>
      <c r="I6" s="599"/>
      <c r="J6" s="598"/>
      <c r="K6" s="596"/>
      <c r="L6" s="601"/>
      <c r="M6" s="610"/>
      <c r="N6" s="610"/>
      <c r="O6" s="613"/>
      <c r="P6" s="604"/>
    </row>
    <row r="7" spans="1:16" ht="38.25" x14ac:dyDescent="0.25">
      <c r="A7" s="590"/>
      <c r="B7" s="607"/>
      <c r="C7" s="13" t="s">
        <v>68</v>
      </c>
      <c r="D7" s="14" t="s">
        <v>8</v>
      </c>
      <c r="E7" s="13" t="s">
        <v>68</v>
      </c>
      <c r="F7" s="14" t="s">
        <v>8</v>
      </c>
      <c r="G7" s="13" t="s">
        <v>68</v>
      </c>
      <c r="H7" s="14" t="s">
        <v>8</v>
      </c>
      <c r="I7" s="13" t="s">
        <v>68</v>
      </c>
      <c r="J7" s="14" t="s">
        <v>8</v>
      </c>
      <c r="K7" s="596"/>
      <c r="L7" s="602"/>
      <c r="M7" s="611"/>
      <c r="N7" s="611"/>
      <c r="O7" s="614"/>
      <c r="P7" s="604"/>
    </row>
    <row r="8" spans="1:16" x14ac:dyDescent="0.25">
      <c r="A8" s="590"/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38">
        <v>10</v>
      </c>
      <c r="L8" s="15">
        <v>11</v>
      </c>
      <c r="M8" s="54">
        <v>12</v>
      </c>
      <c r="N8" s="54">
        <v>13</v>
      </c>
      <c r="O8" s="55">
        <v>14</v>
      </c>
      <c r="P8" s="26" t="s">
        <v>69</v>
      </c>
    </row>
    <row r="9" spans="1:16" s="20" customFormat="1" ht="34.5" customHeight="1" x14ac:dyDescent="0.25">
      <c r="A9" s="76" t="s">
        <v>13</v>
      </c>
      <c r="B9" s="17" t="s">
        <v>0</v>
      </c>
      <c r="C9" s="1">
        <f t="shared" ref="C9:H9" si="0">SUM(C10:C12)</f>
        <v>0.45999999999999996</v>
      </c>
      <c r="D9" s="18">
        <f t="shared" si="0"/>
        <v>35405.831999999995</v>
      </c>
      <c r="E9" s="18">
        <f t="shared" si="0"/>
        <v>0.45999999999999996</v>
      </c>
      <c r="F9" s="18">
        <f t="shared" si="0"/>
        <v>35260.103999999999</v>
      </c>
      <c r="G9" s="1">
        <f t="shared" si="0"/>
        <v>0.45999999999999996</v>
      </c>
      <c r="H9" s="18">
        <f t="shared" si="0"/>
        <v>35865.206399999995</v>
      </c>
      <c r="I9" s="1"/>
      <c r="J9" s="18"/>
      <c r="K9" s="33">
        <f>D9+F9+H9+J9</f>
        <v>106531.14239999998</v>
      </c>
      <c r="L9" s="46">
        <f>SUM(L10:L12)</f>
        <v>116100</v>
      </c>
      <c r="M9" s="46">
        <f t="shared" ref="M9:N9" si="1">SUM(M10:M12)</f>
        <v>5923.25</v>
      </c>
      <c r="N9" s="46">
        <f t="shared" si="1"/>
        <v>3119.7246018936739</v>
      </c>
      <c r="O9" s="19">
        <f>L9+M9+N9</f>
        <v>125142.97460189367</v>
      </c>
      <c r="P9" s="56">
        <f>SUM(P10:P12)</f>
        <v>-18611.832201893681</v>
      </c>
    </row>
    <row r="10" spans="1:16" ht="37.5" customHeight="1" x14ac:dyDescent="0.25">
      <c r="A10" s="21" t="s">
        <v>45</v>
      </c>
      <c r="B10" s="22" t="s">
        <v>34</v>
      </c>
      <c r="C10" s="23">
        <v>0.03</v>
      </c>
      <c r="D10" s="5">
        <f>C10*12*$C$4</f>
        <v>2309.076</v>
      </c>
      <c r="E10" s="5">
        <v>0.02</v>
      </c>
      <c r="F10" s="5">
        <f>E10*12*$E$4</f>
        <v>1533.048</v>
      </c>
      <c r="G10" s="5">
        <v>0.02</v>
      </c>
      <c r="H10" s="5">
        <f>G10*12*$G$4</f>
        <v>1559.3567999999998</v>
      </c>
      <c r="I10" s="5"/>
      <c r="J10" s="5"/>
      <c r="K10" s="39">
        <f>D10+F10+H10+J10</f>
        <v>5401.4807999999994</v>
      </c>
      <c r="L10" s="48"/>
      <c r="M10" s="48">
        <v>5228</v>
      </c>
      <c r="N10" s="48"/>
      <c r="O10" s="24">
        <f>L10+M10+N10</f>
        <v>5228</v>
      </c>
      <c r="P10" s="75">
        <f t="shared" ref="P10:P66" si="2">K10-O10</f>
        <v>173.48079999999936</v>
      </c>
    </row>
    <row r="11" spans="1:16" ht="36" customHeight="1" x14ac:dyDescent="0.25">
      <c r="A11" s="21" t="s">
        <v>19</v>
      </c>
      <c r="B11" s="22" t="s">
        <v>35</v>
      </c>
      <c r="C11" s="23">
        <v>0.08</v>
      </c>
      <c r="D11" s="5">
        <f t="shared" ref="D11:D12" si="3">C11*12*$C$4</f>
        <v>6157.5360000000001</v>
      </c>
      <c r="E11" s="23">
        <v>0.08</v>
      </c>
      <c r="F11" s="5">
        <f>E11*12*$E$4</f>
        <v>6132.192</v>
      </c>
      <c r="G11" s="23">
        <v>0.08</v>
      </c>
      <c r="H11" s="5">
        <f>G11*12*$G$4</f>
        <v>6237.4271999999992</v>
      </c>
      <c r="I11" s="5"/>
      <c r="J11" s="5"/>
      <c r="K11" s="39">
        <f>D11+F11+H11+J11</f>
        <v>18527.155199999997</v>
      </c>
      <c r="L11" s="42"/>
      <c r="M11" s="48">
        <v>695.25</v>
      </c>
      <c r="N11" s="48">
        <f>7000/C6*C5</f>
        <v>3119.7246018936739</v>
      </c>
      <c r="O11" s="24">
        <f>L11+M11+N11</f>
        <v>3814.9746018936739</v>
      </c>
      <c r="P11" s="75">
        <f t="shared" si="2"/>
        <v>14712.180598106323</v>
      </c>
    </row>
    <row r="12" spans="1:16" ht="28.5" customHeight="1" x14ac:dyDescent="0.25">
      <c r="A12" s="21" t="s">
        <v>39</v>
      </c>
      <c r="B12" s="22" t="s">
        <v>20</v>
      </c>
      <c r="C12" s="23">
        <v>0.35</v>
      </c>
      <c r="D12" s="5">
        <f t="shared" si="3"/>
        <v>26939.219999999998</v>
      </c>
      <c r="E12" s="5">
        <v>0.36</v>
      </c>
      <c r="F12" s="5">
        <f>E12*12*$E$4</f>
        <v>27594.864000000001</v>
      </c>
      <c r="G12" s="5">
        <v>0.36</v>
      </c>
      <c r="H12" s="5">
        <f>G12*12*$G$4</f>
        <v>28068.422399999999</v>
      </c>
      <c r="I12" s="5"/>
      <c r="J12" s="5"/>
      <c r="K12" s="39">
        <f>D12+F12+H12+J12</f>
        <v>82602.506399999998</v>
      </c>
      <c r="L12" s="48">
        <f>183860-67760</f>
        <v>116100</v>
      </c>
      <c r="M12" s="48"/>
      <c r="N12" s="48"/>
      <c r="O12" s="24">
        <f>L12+M12+N12</f>
        <v>116100</v>
      </c>
      <c r="P12" s="75">
        <f t="shared" si="2"/>
        <v>-33497.493600000002</v>
      </c>
    </row>
    <row r="13" spans="1:16" s="20" customFormat="1" ht="23.25" customHeight="1" x14ac:dyDescent="0.25">
      <c r="A13" s="76" t="s">
        <v>14</v>
      </c>
      <c r="B13" s="17" t="s">
        <v>1</v>
      </c>
      <c r="C13" s="1">
        <f>SUM(C14:C19)</f>
        <v>0.59000000000000008</v>
      </c>
      <c r="D13" s="18">
        <f>SUM(D14:D21)</f>
        <v>45411.828000000001</v>
      </c>
      <c r="E13" s="18">
        <f>SUM(E14:E19)</f>
        <v>0.59000000000000008</v>
      </c>
      <c r="F13" s="18">
        <f>SUM(F14:F21)</f>
        <v>45224.916000000005</v>
      </c>
      <c r="G13" s="18">
        <f>SUM(G14:G19)</f>
        <v>0.59000000000000008</v>
      </c>
      <c r="H13" s="18">
        <f>SUM(H14:H21)</f>
        <v>46001.025599999994</v>
      </c>
      <c r="I13" s="18"/>
      <c r="J13" s="18"/>
      <c r="K13" s="33">
        <f t="shared" ref="K13:P13" si="4">SUM(K14:K21)</f>
        <v>136637.7696</v>
      </c>
      <c r="L13" s="46">
        <f t="shared" si="4"/>
        <v>226945</v>
      </c>
      <c r="M13" s="46">
        <f t="shared" si="4"/>
        <v>88806.299999999988</v>
      </c>
      <c r="N13" s="46">
        <f t="shared" si="4"/>
        <v>13934.13</v>
      </c>
      <c r="O13" s="19">
        <f t="shared" si="4"/>
        <v>329685.43</v>
      </c>
      <c r="P13" s="56">
        <f t="shared" si="4"/>
        <v>-193047.66039999999</v>
      </c>
    </row>
    <row r="14" spans="1:16" ht="33.75" customHeight="1" x14ac:dyDescent="0.25">
      <c r="A14" s="21" t="s">
        <v>46</v>
      </c>
      <c r="B14" s="25" t="s">
        <v>42</v>
      </c>
      <c r="C14" s="2">
        <v>0.03</v>
      </c>
      <c r="D14" s="5">
        <f t="shared" ref="D14:D19" si="5">C14*12*$C$4</f>
        <v>2309.076</v>
      </c>
      <c r="E14" s="5">
        <v>0.03</v>
      </c>
      <c r="F14" s="5">
        <f>E14*12*$E$4</f>
        <v>2299.5719999999997</v>
      </c>
      <c r="G14" s="5">
        <v>0.03</v>
      </c>
      <c r="H14" s="5">
        <f>G14*12*$G$4</f>
        <v>2339.0351999999998</v>
      </c>
      <c r="I14" s="5"/>
      <c r="J14" s="5"/>
      <c r="K14" s="39">
        <f t="shared" ref="K14:K19" si="6">D14+F14+H14+J14</f>
        <v>6947.6831999999995</v>
      </c>
      <c r="L14" s="48">
        <f>'Затраты 88, 90, 92'!L8</f>
        <v>2790</v>
      </c>
      <c r="M14" s="48">
        <f>'Затраты 88, 90, 92'!L7</f>
        <v>8614.86</v>
      </c>
      <c r="N14" s="48"/>
      <c r="O14" s="24">
        <f t="shared" ref="O14:O44" si="7">L14+M14+N14</f>
        <v>11404.86</v>
      </c>
      <c r="P14" s="75">
        <f t="shared" si="2"/>
        <v>-4457.1768000000011</v>
      </c>
    </row>
    <row r="15" spans="1:16" ht="33.75" customHeight="1" x14ac:dyDescent="0.25">
      <c r="A15" s="21" t="s">
        <v>47</v>
      </c>
      <c r="B15" s="25" t="s">
        <v>43</v>
      </c>
      <c r="C15" s="2">
        <v>0.05</v>
      </c>
      <c r="D15" s="5">
        <f t="shared" si="5"/>
        <v>3848.4600000000009</v>
      </c>
      <c r="E15" s="5">
        <v>0.05</v>
      </c>
      <c r="F15" s="5">
        <f t="shared" ref="F15:F19" si="8">E15*12*$E$4</f>
        <v>3832.6200000000003</v>
      </c>
      <c r="G15" s="5">
        <v>0.05</v>
      </c>
      <c r="H15" s="5">
        <f t="shared" ref="H15:H19" si="9">G15*12*$G$4</f>
        <v>3898.3920000000003</v>
      </c>
      <c r="I15" s="5"/>
      <c r="J15" s="5"/>
      <c r="K15" s="39">
        <f t="shared" si="6"/>
        <v>11579.472000000002</v>
      </c>
      <c r="L15" s="48">
        <f>'Затраты 88, 90, 92'!L50</f>
        <v>17250</v>
      </c>
      <c r="M15" s="48"/>
      <c r="N15" s="48"/>
      <c r="O15" s="24">
        <f t="shared" si="7"/>
        <v>17250</v>
      </c>
      <c r="P15" s="75">
        <f t="shared" si="2"/>
        <v>-5670.5279999999984</v>
      </c>
    </row>
    <row r="16" spans="1:16" ht="33.75" customHeight="1" x14ac:dyDescent="0.25">
      <c r="A16" s="21" t="s">
        <v>48</v>
      </c>
      <c r="B16" s="25" t="s">
        <v>24</v>
      </c>
      <c r="C16" s="2">
        <v>0.04</v>
      </c>
      <c r="D16" s="5">
        <f t="shared" si="5"/>
        <v>3078.768</v>
      </c>
      <c r="E16" s="5">
        <v>0.04</v>
      </c>
      <c r="F16" s="5">
        <f t="shared" si="8"/>
        <v>3066.096</v>
      </c>
      <c r="G16" s="5">
        <v>0.04</v>
      </c>
      <c r="H16" s="5">
        <f t="shared" si="9"/>
        <v>3118.7135999999996</v>
      </c>
      <c r="I16" s="5"/>
      <c r="J16" s="5"/>
      <c r="K16" s="39">
        <f t="shared" si="6"/>
        <v>9263.5775999999987</v>
      </c>
      <c r="L16" s="42"/>
      <c r="M16" s="48">
        <f>'Затраты 88, 90, 92'!L9</f>
        <v>17336.8</v>
      </c>
      <c r="N16" s="48">
        <f>'Затраты 88, 90, 92'!L49</f>
        <v>5500</v>
      </c>
      <c r="O16" s="24">
        <f>L16+M16+N16</f>
        <v>22836.799999999999</v>
      </c>
      <c r="P16" s="75">
        <f t="shared" si="2"/>
        <v>-13573.222400000001</v>
      </c>
    </row>
    <row r="17" spans="1:16" ht="33.75" customHeight="1" x14ac:dyDescent="0.25">
      <c r="A17" s="21" t="s">
        <v>49</v>
      </c>
      <c r="B17" s="25" t="s">
        <v>25</v>
      </c>
      <c r="C17" s="2">
        <v>0.33</v>
      </c>
      <c r="D17" s="5">
        <f t="shared" si="5"/>
        <v>25399.836000000003</v>
      </c>
      <c r="E17" s="5">
        <v>0.33</v>
      </c>
      <c r="F17" s="5">
        <f t="shared" si="8"/>
        <v>25295.291999999998</v>
      </c>
      <c r="G17" s="5">
        <v>0.33</v>
      </c>
      <c r="H17" s="5">
        <f t="shared" si="9"/>
        <v>25729.387199999997</v>
      </c>
      <c r="I17" s="5"/>
      <c r="J17" s="5"/>
      <c r="K17" s="39">
        <f t="shared" si="6"/>
        <v>76424.515199999994</v>
      </c>
      <c r="L17" s="48">
        <f>99301</f>
        <v>99301</v>
      </c>
      <c r="M17" s="48">
        <f>19716.15+1520</f>
        <v>21236.15</v>
      </c>
      <c r="N17" s="48"/>
      <c r="O17" s="24">
        <f t="shared" si="7"/>
        <v>120537.15</v>
      </c>
      <c r="P17" s="75">
        <f t="shared" si="2"/>
        <v>-44112.6348</v>
      </c>
    </row>
    <row r="18" spans="1:16" ht="33.75" customHeight="1" x14ac:dyDescent="0.25">
      <c r="A18" s="21" t="s">
        <v>50</v>
      </c>
      <c r="B18" s="25" t="s">
        <v>26</v>
      </c>
      <c r="C18" s="2">
        <v>0.08</v>
      </c>
      <c r="D18" s="5">
        <f t="shared" si="5"/>
        <v>6157.5360000000001</v>
      </c>
      <c r="E18" s="5">
        <v>0.08</v>
      </c>
      <c r="F18" s="5">
        <f t="shared" si="8"/>
        <v>6132.192</v>
      </c>
      <c r="G18" s="5">
        <v>0.08</v>
      </c>
      <c r="H18" s="5">
        <f t="shared" si="9"/>
        <v>6237.4271999999992</v>
      </c>
      <c r="I18" s="5"/>
      <c r="J18" s="5"/>
      <c r="K18" s="39">
        <f t="shared" si="6"/>
        <v>18527.155199999997</v>
      </c>
      <c r="L18" s="48">
        <v>27038</v>
      </c>
      <c r="M18" s="48">
        <v>41618.49</v>
      </c>
      <c r="N18" s="48">
        <v>8434.1299999999992</v>
      </c>
      <c r="O18" s="24">
        <f t="shared" si="7"/>
        <v>77090.62</v>
      </c>
      <c r="P18" s="75">
        <f t="shared" si="2"/>
        <v>-58563.464800000002</v>
      </c>
    </row>
    <row r="19" spans="1:16" ht="33.75" customHeight="1" x14ac:dyDescent="0.25">
      <c r="A19" s="21" t="s">
        <v>51</v>
      </c>
      <c r="B19" s="25" t="s">
        <v>27</v>
      </c>
      <c r="C19" s="2">
        <v>0.06</v>
      </c>
      <c r="D19" s="5">
        <f t="shared" si="5"/>
        <v>4618.152</v>
      </c>
      <c r="E19" s="5">
        <v>0.06</v>
      </c>
      <c r="F19" s="5">
        <f t="shared" si="8"/>
        <v>4599.1439999999993</v>
      </c>
      <c r="G19" s="5">
        <v>0.06</v>
      </c>
      <c r="H19" s="5">
        <f t="shared" si="9"/>
        <v>4678.0703999999996</v>
      </c>
      <c r="I19" s="5"/>
      <c r="J19" s="5"/>
      <c r="K19" s="39">
        <f t="shared" si="6"/>
        <v>13895.366399999999</v>
      </c>
      <c r="L19" s="48">
        <f>13895.37+48670.63</f>
        <v>62566</v>
      </c>
      <c r="M19" s="48"/>
      <c r="N19" s="48"/>
      <c r="O19" s="24">
        <f t="shared" si="7"/>
        <v>62566</v>
      </c>
      <c r="P19" s="75">
        <f t="shared" si="2"/>
        <v>-48670.633600000001</v>
      </c>
    </row>
    <row r="20" spans="1:16" ht="33.75" customHeight="1" x14ac:dyDescent="0.25">
      <c r="A20" s="21" t="s">
        <v>65</v>
      </c>
      <c r="B20" s="25" t="s">
        <v>75</v>
      </c>
      <c r="C20" s="2"/>
      <c r="D20" s="5"/>
      <c r="E20" s="5"/>
      <c r="F20" s="5"/>
      <c r="G20" s="5"/>
      <c r="H20" s="5"/>
      <c r="I20" s="5"/>
      <c r="J20" s="5"/>
      <c r="K20" s="39"/>
      <c r="L20" s="48">
        <f>'Затраты 88, 90, 92'!L52</f>
        <v>18000</v>
      </c>
      <c r="M20" s="48"/>
      <c r="N20" s="48"/>
      <c r="O20" s="24">
        <f t="shared" si="7"/>
        <v>18000</v>
      </c>
      <c r="P20" s="75">
        <f t="shared" si="2"/>
        <v>-18000</v>
      </c>
    </row>
    <row r="21" spans="1:16" ht="33.75" hidden="1" customHeight="1" x14ac:dyDescent="0.25">
      <c r="A21" s="21" t="s">
        <v>74</v>
      </c>
      <c r="B21" s="25" t="s">
        <v>80</v>
      </c>
      <c r="C21" s="2"/>
      <c r="D21" s="5"/>
      <c r="E21" s="5"/>
      <c r="F21" s="5"/>
      <c r="G21" s="5"/>
      <c r="H21" s="5"/>
      <c r="I21" s="5"/>
      <c r="J21" s="5"/>
      <c r="K21" s="39"/>
      <c r="L21" s="42"/>
      <c r="M21" s="48"/>
      <c r="N21" s="48"/>
      <c r="O21" s="24">
        <f t="shared" si="7"/>
        <v>0</v>
      </c>
      <c r="P21" s="75">
        <f t="shared" si="2"/>
        <v>0</v>
      </c>
    </row>
    <row r="22" spans="1:16" s="20" customFormat="1" ht="24" customHeight="1" x14ac:dyDescent="0.25">
      <c r="A22" s="76" t="s">
        <v>15</v>
      </c>
      <c r="B22" s="17" t="s">
        <v>2</v>
      </c>
      <c r="C22" s="1">
        <f>D22/C4/12</f>
        <v>12.596972451318189</v>
      </c>
      <c r="D22" s="18">
        <f>SUM(D23:D32)</f>
        <v>969578.89200000011</v>
      </c>
      <c r="E22" s="1">
        <f>F22/E4/12</f>
        <v>12.603844419744197</v>
      </c>
      <c r="F22" s="18">
        <f>SUM(F23:F32)</f>
        <v>966114.924</v>
      </c>
      <c r="G22" s="1">
        <f>H22/G4/12</f>
        <v>12.5989504595741</v>
      </c>
      <c r="H22" s="18">
        <f>SUM(H23:H32)</f>
        <v>982312.95359999989</v>
      </c>
      <c r="I22" s="1"/>
      <c r="J22" s="18"/>
      <c r="K22" s="33">
        <f>D22+F22+H22+J22</f>
        <v>2918006.7696000002</v>
      </c>
      <c r="L22" s="46">
        <f>SUM(L23:L32)</f>
        <v>2871270.0845170803</v>
      </c>
      <c r="M22" s="46">
        <f t="shared" ref="M22:N22" si="10">SUM(M23:M32)</f>
        <v>5295.0639992998194</v>
      </c>
      <c r="N22" s="46">
        <f t="shared" si="10"/>
        <v>13096.603878749644</v>
      </c>
      <c r="O22" s="19">
        <f t="shared" si="7"/>
        <v>2889661.7523951298</v>
      </c>
      <c r="P22" s="56">
        <f t="shared" si="2"/>
        <v>28345.01720487047</v>
      </c>
    </row>
    <row r="23" spans="1:16" ht="27.75" customHeight="1" x14ac:dyDescent="0.25">
      <c r="A23" s="21" t="s">
        <v>21</v>
      </c>
      <c r="B23" s="25" t="s">
        <v>44</v>
      </c>
      <c r="C23" s="2">
        <v>11.01</v>
      </c>
      <c r="D23" s="5">
        <f>C23*12*C4</f>
        <v>847430.89200000011</v>
      </c>
      <c r="E23" s="5">
        <v>11.01</v>
      </c>
      <c r="F23" s="5">
        <f>E23*12*E4</f>
        <v>843942.924</v>
      </c>
      <c r="G23" s="5">
        <v>11.04</v>
      </c>
      <c r="H23" s="5">
        <f>G23*12*G4</f>
        <v>860764.95359999989</v>
      </c>
      <c r="I23" s="5"/>
      <c r="J23" s="5"/>
      <c r="K23" s="39">
        <f t="shared" ref="K23:K29" si="11">D23+F23+H23+J23</f>
        <v>2552138.7696000002</v>
      </c>
      <c r="L23" s="48">
        <v>2552138.77</v>
      </c>
      <c r="M23" s="48"/>
      <c r="N23" s="48"/>
      <c r="O23" s="24">
        <f t="shared" si="7"/>
        <v>2552138.77</v>
      </c>
      <c r="P23" s="75">
        <f t="shared" si="2"/>
        <v>-3.9999978616833687E-4</v>
      </c>
    </row>
    <row r="24" spans="1:16" ht="27.75" customHeight="1" x14ac:dyDescent="0.25">
      <c r="A24" s="21" t="s">
        <v>22</v>
      </c>
      <c r="B24" s="22" t="s">
        <v>28</v>
      </c>
      <c r="C24" s="2">
        <v>1721</v>
      </c>
      <c r="D24" s="5">
        <f t="shared" ref="D24:D29" si="12">C24*12</f>
        <v>20652</v>
      </c>
      <c r="E24" s="3">
        <v>1722</v>
      </c>
      <c r="F24" s="5">
        <f t="shared" ref="F24:F29" si="13">E24*12</f>
        <v>20664</v>
      </c>
      <c r="G24" s="3">
        <v>1723</v>
      </c>
      <c r="H24" s="5">
        <f t="shared" ref="H24:H29" si="14">G24*12</f>
        <v>20676</v>
      </c>
      <c r="I24" s="5"/>
      <c r="J24" s="5"/>
      <c r="K24" s="39">
        <f t="shared" si="11"/>
        <v>61992</v>
      </c>
      <c r="L24" s="49">
        <f>37393/C6*C5</f>
        <v>16665.123148372877</v>
      </c>
      <c r="M24" s="50"/>
      <c r="N24" s="50"/>
      <c r="O24" s="24">
        <f t="shared" si="7"/>
        <v>16665.123148372877</v>
      </c>
      <c r="P24" s="75">
        <f t="shared" si="2"/>
        <v>45326.876851627123</v>
      </c>
    </row>
    <row r="25" spans="1:16" ht="27.75" customHeight="1" x14ac:dyDescent="0.25">
      <c r="A25" s="21" t="s">
        <v>23</v>
      </c>
      <c r="B25" s="22" t="s">
        <v>29</v>
      </c>
      <c r="C25" s="2">
        <v>1680</v>
      </c>
      <c r="D25" s="5">
        <f t="shared" si="12"/>
        <v>20160</v>
      </c>
      <c r="E25" s="3">
        <v>1681</v>
      </c>
      <c r="F25" s="5">
        <f t="shared" si="13"/>
        <v>20172</v>
      </c>
      <c r="G25" s="3">
        <v>1682</v>
      </c>
      <c r="H25" s="5">
        <f t="shared" si="14"/>
        <v>20184</v>
      </c>
      <c r="I25" s="5"/>
      <c r="J25" s="5"/>
      <c r="K25" s="39">
        <f t="shared" si="11"/>
        <v>60516</v>
      </c>
      <c r="L25" s="48">
        <f>130164/C6*C5</f>
        <v>58010.833297269732</v>
      </c>
      <c r="M25" s="48"/>
      <c r="N25" s="48"/>
      <c r="O25" s="24">
        <f t="shared" si="7"/>
        <v>58010.833297269732</v>
      </c>
      <c r="P25" s="75">
        <f t="shared" si="2"/>
        <v>2505.1667027302683</v>
      </c>
    </row>
    <row r="26" spans="1:16" ht="27.75" customHeight="1" x14ac:dyDescent="0.25">
      <c r="A26" s="21" t="s">
        <v>40</v>
      </c>
      <c r="B26" s="22" t="s">
        <v>30</v>
      </c>
      <c r="C26" s="2">
        <v>333</v>
      </c>
      <c r="D26" s="5">
        <f t="shared" si="12"/>
        <v>3996</v>
      </c>
      <c r="E26" s="5">
        <v>333</v>
      </c>
      <c r="F26" s="5">
        <f t="shared" si="13"/>
        <v>3996</v>
      </c>
      <c r="G26" s="5">
        <v>278</v>
      </c>
      <c r="H26" s="5">
        <f t="shared" si="14"/>
        <v>3336</v>
      </c>
      <c r="I26" s="5"/>
      <c r="J26" s="5"/>
      <c r="K26" s="39">
        <f t="shared" si="11"/>
        <v>11328</v>
      </c>
      <c r="L26" s="48">
        <f>(5150+6030)/C6*C5</f>
        <v>4982.6458641673244</v>
      </c>
      <c r="M26" s="47"/>
      <c r="N26" s="48">
        <f>8600/C6*C5</f>
        <v>3832.8045108979422</v>
      </c>
      <c r="O26" s="24">
        <f t="shared" si="7"/>
        <v>8815.4503750652657</v>
      </c>
      <c r="P26" s="75">
        <f t="shared" si="2"/>
        <v>2512.5496249347343</v>
      </c>
    </row>
    <row r="27" spans="1:16" ht="27.75" customHeight="1" x14ac:dyDescent="0.25">
      <c r="A27" s="21" t="s">
        <v>52</v>
      </c>
      <c r="B27" s="22" t="s">
        <v>31</v>
      </c>
      <c r="C27" s="2">
        <v>278</v>
      </c>
      <c r="D27" s="5">
        <f t="shared" si="12"/>
        <v>3336</v>
      </c>
      <c r="E27" s="5">
        <v>278</v>
      </c>
      <c r="F27" s="5">
        <f t="shared" si="13"/>
        <v>3336</v>
      </c>
      <c r="G27" s="5">
        <v>279</v>
      </c>
      <c r="H27" s="5">
        <f t="shared" si="14"/>
        <v>3348</v>
      </c>
      <c r="I27" s="5"/>
      <c r="J27" s="5"/>
      <c r="K27" s="39">
        <f t="shared" si="11"/>
        <v>10020</v>
      </c>
      <c r="L27" s="48">
        <f>68500/C6*C5</f>
        <v>30528.733604245237</v>
      </c>
      <c r="M27" s="48"/>
      <c r="N27" s="48"/>
      <c r="O27" s="24">
        <f t="shared" si="7"/>
        <v>30528.733604245237</v>
      </c>
      <c r="P27" s="75">
        <f t="shared" si="2"/>
        <v>-20508.733604245237</v>
      </c>
    </row>
    <row r="28" spans="1:16" ht="27.75" customHeight="1" x14ac:dyDescent="0.25">
      <c r="A28" s="21" t="s">
        <v>53</v>
      </c>
      <c r="B28" s="22" t="s">
        <v>32</v>
      </c>
      <c r="C28" s="2">
        <v>6000</v>
      </c>
      <c r="D28" s="5">
        <f t="shared" si="12"/>
        <v>72000</v>
      </c>
      <c r="E28" s="3">
        <v>6000</v>
      </c>
      <c r="F28" s="5">
        <f t="shared" si="13"/>
        <v>72000</v>
      </c>
      <c r="G28" s="3">
        <v>6000</v>
      </c>
      <c r="H28" s="5">
        <f t="shared" si="14"/>
        <v>72000</v>
      </c>
      <c r="I28" s="5"/>
      <c r="J28" s="5"/>
      <c r="K28" s="39">
        <f t="shared" si="11"/>
        <v>216000</v>
      </c>
      <c r="L28" s="48">
        <f>228988.41/C6*C5</f>
        <v>102054.39660364506</v>
      </c>
      <c r="M28" s="48"/>
      <c r="N28" s="47"/>
      <c r="O28" s="24">
        <f t="shared" si="7"/>
        <v>102054.39660364506</v>
      </c>
      <c r="P28" s="75">
        <f t="shared" si="2"/>
        <v>113945.60339635494</v>
      </c>
    </row>
    <row r="29" spans="1:16" ht="27.75" customHeight="1" x14ac:dyDescent="0.25">
      <c r="A29" s="21" t="s">
        <v>54</v>
      </c>
      <c r="B29" s="22" t="s">
        <v>33</v>
      </c>
      <c r="C29" s="2">
        <v>167</v>
      </c>
      <c r="D29" s="5">
        <f t="shared" si="12"/>
        <v>2004</v>
      </c>
      <c r="E29" s="2">
        <v>167</v>
      </c>
      <c r="F29" s="5">
        <f t="shared" si="13"/>
        <v>2004</v>
      </c>
      <c r="G29" s="2">
        <v>167</v>
      </c>
      <c r="H29" s="5">
        <f t="shared" si="14"/>
        <v>2004</v>
      </c>
      <c r="I29" s="5"/>
      <c r="J29" s="5"/>
      <c r="K29" s="39">
        <f t="shared" si="11"/>
        <v>6012</v>
      </c>
      <c r="L29" s="47"/>
      <c r="M29" s="48">
        <f>11502/C6*C5</f>
        <v>5126.1531958544338</v>
      </c>
      <c r="N29" s="48">
        <f>20786/C6*C5</f>
        <v>9263.7993678517014</v>
      </c>
      <c r="O29" s="24">
        <f t="shared" si="7"/>
        <v>14389.952563706134</v>
      </c>
      <c r="P29" s="75">
        <f t="shared" si="2"/>
        <v>-8377.9525637061342</v>
      </c>
    </row>
    <row r="30" spans="1:16" ht="27.75" customHeight="1" x14ac:dyDescent="0.25">
      <c r="A30" s="21" t="s">
        <v>55</v>
      </c>
      <c r="B30" s="22" t="s">
        <v>36</v>
      </c>
      <c r="C30" s="2"/>
      <c r="D30" s="5"/>
      <c r="E30" s="2"/>
      <c r="F30" s="5"/>
      <c r="G30" s="2"/>
      <c r="H30" s="5"/>
      <c r="I30" s="5"/>
      <c r="J30" s="5"/>
      <c r="K30" s="39"/>
      <c r="L30" s="48">
        <f>5489.54/C6*C5</f>
        <v>2446.550427297057</v>
      </c>
      <c r="M30" s="48">
        <f>379/C6*C5</f>
        <v>168.91080344538608</v>
      </c>
      <c r="N30" s="48"/>
      <c r="O30" s="24">
        <f t="shared" si="7"/>
        <v>2615.4612307424431</v>
      </c>
      <c r="P30" s="75">
        <f t="shared" si="2"/>
        <v>-2615.4612307424431</v>
      </c>
    </row>
    <row r="31" spans="1:16" ht="27.75" customHeight="1" x14ac:dyDescent="0.25">
      <c r="A31" s="21" t="s">
        <v>56</v>
      </c>
      <c r="B31" s="22" t="s">
        <v>82</v>
      </c>
      <c r="C31" s="2"/>
      <c r="D31" s="5"/>
      <c r="E31" s="2"/>
      <c r="F31" s="5"/>
      <c r="G31" s="2"/>
      <c r="H31" s="5"/>
      <c r="I31" s="5"/>
      <c r="J31" s="5"/>
      <c r="K31" s="39"/>
      <c r="L31" s="48">
        <f>104348/C6*C5</f>
        <v>46505.288965485866</v>
      </c>
      <c r="M31" s="48"/>
      <c r="N31" s="48"/>
      <c r="O31" s="24">
        <f t="shared" si="7"/>
        <v>46505.288965485866</v>
      </c>
      <c r="P31" s="75">
        <f t="shared" si="2"/>
        <v>-46505.288965485866</v>
      </c>
    </row>
    <row r="32" spans="1:16" ht="27.75" customHeight="1" x14ac:dyDescent="0.25">
      <c r="A32" s="21" t="s">
        <v>59</v>
      </c>
      <c r="B32" s="22" t="s">
        <v>83</v>
      </c>
      <c r="C32" s="2"/>
      <c r="D32" s="5"/>
      <c r="E32" s="2"/>
      <c r="F32" s="5"/>
      <c r="G32" s="2"/>
      <c r="H32" s="5"/>
      <c r="I32" s="5"/>
      <c r="J32" s="5"/>
      <c r="K32" s="39"/>
      <c r="L32" s="48">
        <f>130000/C6*C5</f>
        <v>57937.742606596796</v>
      </c>
      <c r="M32" s="48"/>
      <c r="N32" s="48"/>
      <c r="O32" s="24">
        <f t="shared" si="7"/>
        <v>57937.742606596796</v>
      </c>
      <c r="P32" s="75">
        <f t="shared" si="2"/>
        <v>-57937.742606596796</v>
      </c>
    </row>
    <row r="33" spans="1:17" ht="27.75" customHeight="1" x14ac:dyDescent="0.25">
      <c r="A33" s="21" t="s">
        <v>56</v>
      </c>
      <c r="B33" s="22" t="s">
        <v>76</v>
      </c>
      <c r="C33" s="2">
        <v>1.82</v>
      </c>
      <c r="D33" s="5">
        <f>C33*12*C4</f>
        <v>140083.94400000002</v>
      </c>
      <c r="E33" s="2">
        <v>1.82</v>
      </c>
      <c r="F33" s="5">
        <f>E33*12*E4</f>
        <v>139507.36799999999</v>
      </c>
      <c r="G33" s="2">
        <v>1.82</v>
      </c>
      <c r="H33" s="5">
        <f>G33*12*G4</f>
        <v>141901.4688</v>
      </c>
      <c r="I33" s="5"/>
      <c r="J33" s="5"/>
      <c r="K33" s="39">
        <f>D33+F33+H33+J33</f>
        <v>421492.78080000007</v>
      </c>
      <c r="L33" s="48">
        <f>SUM(L34:L40)</f>
        <v>60816.357064258409</v>
      </c>
      <c r="M33" s="48">
        <f>SUM(M34:M40)</f>
        <v>31993.814991463667</v>
      </c>
      <c r="N33" s="48">
        <f>SUM(N34:N40)</f>
        <v>25751.098213916637</v>
      </c>
      <c r="O33" s="24">
        <f>O34+O35+O36+O37+O40</f>
        <v>102111.2602696387</v>
      </c>
      <c r="P33" s="75">
        <f t="shared" si="2"/>
        <v>319381.52053036133</v>
      </c>
    </row>
    <row r="34" spans="1:17" ht="37.5" customHeight="1" x14ac:dyDescent="0.25">
      <c r="A34" s="21" t="s">
        <v>91</v>
      </c>
      <c r="B34" s="22" t="s">
        <v>60</v>
      </c>
      <c r="C34" s="4"/>
      <c r="D34" s="5"/>
      <c r="E34" s="5"/>
      <c r="F34" s="5"/>
      <c r="G34" s="5"/>
      <c r="H34" s="5"/>
      <c r="I34" s="5"/>
      <c r="J34" s="5"/>
      <c r="K34" s="39"/>
      <c r="L34" s="48">
        <f>43315/C6*C5</f>
        <v>19304.410161574924</v>
      </c>
      <c r="M34" s="48"/>
      <c r="N34" s="48"/>
      <c r="O34" s="24">
        <f t="shared" si="7"/>
        <v>19304.410161574924</v>
      </c>
      <c r="P34" s="75">
        <f t="shared" si="2"/>
        <v>-19304.410161574924</v>
      </c>
    </row>
    <row r="35" spans="1:17" ht="37.5" customHeight="1" x14ac:dyDescent="0.25">
      <c r="A35" s="21" t="s">
        <v>92</v>
      </c>
      <c r="B35" s="22" t="s">
        <v>77</v>
      </c>
      <c r="C35" s="4"/>
      <c r="D35" s="5"/>
      <c r="E35" s="5"/>
      <c r="F35" s="5"/>
      <c r="G35" s="5"/>
      <c r="H35" s="5"/>
      <c r="I35" s="5"/>
      <c r="J35" s="5"/>
      <c r="K35" s="39"/>
      <c r="L35" s="48"/>
      <c r="M35" s="48"/>
      <c r="N35" s="48">
        <f>25090/C6*C5</f>
        <v>11181.984323073182</v>
      </c>
      <c r="O35" s="24">
        <f t="shared" si="7"/>
        <v>11181.984323073182</v>
      </c>
      <c r="P35" s="75">
        <f t="shared" si="2"/>
        <v>-11181.984323073182</v>
      </c>
    </row>
    <row r="36" spans="1:17" ht="37.5" customHeight="1" x14ac:dyDescent="0.25">
      <c r="A36" s="21" t="s">
        <v>93</v>
      </c>
      <c r="B36" s="22" t="s">
        <v>81</v>
      </c>
      <c r="C36" s="4"/>
      <c r="D36" s="5"/>
      <c r="E36" s="5"/>
      <c r="F36" s="5"/>
      <c r="G36" s="5"/>
      <c r="H36" s="5"/>
      <c r="I36" s="5"/>
      <c r="J36" s="5"/>
      <c r="K36" s="39"/>
      <c r="L36" s="48"/>
      <c r="M36" s="48"/>
      <c r="N36" s="48">
        <f>24990/C6*C5</f>
        <v>11137.416828760415</v>
      </c>
      <c r="O36" s="24">
        <f t="shared" si="7"/>
        <v>11137.416828760415</v>
      </c>
      <c r="P36" s="75">
        <f t="shared" si="2"/>
        <v>-11137.416828760415</v>
      </c>
    </row>
    <row r="37" spans="1:17" ht="37.5" customHeight="1" x14ac:dyDescent="0.25">
      <c r="A37" s="21" t="s">
        <v>94</v>
      </c>
      <c r="B37" s="22" t="s">
        <v>79</v>
      </c>
      <c r="C37" s="4"/>
      <c r="D37" s="5"/>
      <c r="E37" s="5"/>
      <c r="F37" s="5"/>
      <c r="G37" s="5"/>
      <c r="H37" s="5"/>
      <c r="I37" s="5"/>
      <c r="J37" s="5"/>
      <c r="K37" s="39"/>
      <c r="L37" s="48">
        <f>2250/C6*C5</f>
        <v>1002.7686220372523</v>
      </c>
      <c r="M37" s="48">
        <f>(6088+7751+18827+2211)/C6*C5</f>
        <v>15543.804991463665</v>
      </c>
      <c r="N37" s="48"/>
      <c r="O37" s="24">
        <f t="shared" si="7"/>
        <v>16546.573613500917</v>
      </c>
      <c r="P37" s="75">
        <f t="shared" si="2"/>
        <v>-16546.573613500917</v>
      </c>
    </row>
    <row r="38" spans="1:17" ht="37.5" customHeight="1" x14ac:dyDescent="0.25">
      <c r="A38" s="21" t="s">
        <v>179</v>
      </c>
      <c r="B38" s="22" t="s">
        <v>180</v>
      </c>
      <c r="C38" s="4"/>
      <c r="D38" s="5"/>
      <c r="E38" s="5"/>
      <c r="F38" s="5"/>
      <c r="G38" s="5"/>
      <c r="H38" s="5"/>
      <c r="I38" s="5"/>
      <c r="J38" s="5"/>
      <c r="K38" s="39"/>
      <c r="L38" s="48"/>
      <c r="M38" s="48">
        <v>12068.87</v>
      </c>
      <c r="N38" s="48"/>
      <c r="O38" s="24">
        <f t="shared" si="7"/>
        <v>12068.87</v>
      </c>
      <c r="P38" s="102">
        <f t="shared" si="2"/>
        <v>-12068.87</v>
      </c>
    </row>
    <row r="39" spans="1:17" ht="37.5" customHeight="1" x14ac:dyDescent="0.25">
      <c r="A39" s="21" t="s">
        <v>95</v>
      </c>
      <c r="B39" s="159" t="s">
        <v>273</v>
      </c>
      <c r="C39" s="4"/>
      <c r="D39" s="154"/>
      <c r="E39" s="154"/>
      <c r="F39" s="154"/>
      <c r="G39" s="154"/>
      <c r="H39" s="154"/>
      <c r="I39" s="154"/>
      <c r="J39" s="154"/>
      <c r="K39" s="160"/>
      <c r="L39" s="156"/>
      <c r="M39" s="156">
        <f>916.14+3465</f>
        <v>4381.1400000000003</v>
      </c>
      <c r="N39" s="156"/>
      <c r="O39" s="24">
        <f t="shared" si="7"/>
        <v>4381.1400000000003</v>
      </c>
      <c r="P39" s="102">
        <f t="shared" si="2"/>
        <v>-4381.1400000000003</v>
      </c>
    </row>
    <row r="40" spans="1:17" ht="37.5" customHeight="1" x14ac:dyDescent="0.25">
      <c r="A40" s="21" t="s">
        <v>272</v>
      </c>
      <c r="B40" s="22" t="s">
        <v>83</v>
      </c>
      <c r="C40" s="4"/>
      <c r="D40" s="5"/>
      <c r="E40" s="5"/>
      <c r="F40" s="5"/>
      <c r="G40" s="5"/>
      <c r="H40" s="5"/>
      <c r="I40" s="5"/>
      <c r="J40" s="5"/>
      <c r="K40" s="39"/>
      <c r="L40" s="48">
        <f>90894/C6*C5</f>
        <v>40509.178280646229</v>
      </c>
      <c r="M40" s="48"/>
      <c r="N40" s="48">
        <f>7700/C6*C5</f>
        <v>3431.6970620830411</v>
      </c>
      <c r="O40" s="24">
        <f t="shared" si="7"/>
        <v>43940.875342729269</v>
      </c>
      <c r="P40" s="75">
        <f t="shared" si="2"/>
        <v>-43940.875342729269</v>
      </c>
    </row>
    <row r="41" spans="1:17" ht="15" customHeight="1" x14ac:dyDescent="0.25">
      <c r="A41" s="21" t="s">
        <v>16</v>
      </c>
      <c r="B41" s="17" t="s">
        <v>4</v>
      </c>
      <c r="C41" s="2">
        <v>1.31</v>
      </c>
      <c r="D41" s="5">
        <f>C41*6359.2*12</f>
        <v>99966.623999999996</v>
      </c>
      <c r="E41" s="5">
        <v>1.31</v>
      </c>
      <c r="F41" s="5">
        <f>E41*6359.2*12</f>
        <v>99966.623999999996</v>
      </c>
      <c r="G41" s="5">
        <v>1.31</v>
      </c>
      <c r="H41" s="5">
        <f>G41*6359.2*12</f>
        <v>99966.623999999996</v>
      </c>
      <c r="I41" s="57"/>
      <c r="J41" s="5"/>
      <c r="K41" s="33">
        <f>D41+F41+H41+J41</f>
        <v>299899.87199999997</v>
      </c>
      <c r="L41" s="48">
        <v>299899.87</v>
      </c>
      <c r="M41" s="48"/>
      <c r="N41" s="48"/>
      <c r="O41" s="19">
        <f t="shared" si="7"/>
        <v>299899.87</v>
      </c>
      <c r="P41" s="56">
        <f t="shared" si="2"/>
        <v>1.9999999785795808E-3</v>
      </c>
    </row>
    <row r="42" spans="1:17" ht="15" customHeight="1" x14ac:dyDescent="0.25">
      <c r="A42" s="21" t="s">
        <v>17</v>
      </c>
      <c r="B42" s="17" t="s">
        <v>5</v>
      </c>
      <c r="C42" s="2">
        <v>36</v>
      </c>
      <c r="D42" s="5">
        <f>C42*12*84</f>
        <v>36288</v>
      </c>
      <c r="E42" s="5">
        <v>36</v>
      </c>
      <c r="F42" s="5">
        <f>E42*12*81</f>
        <v>34992</v>
      </c>
      <c r="G42" s="5">
        <v>35</v>
      </c>
      <c r="H42" s="5">
        <f>G42*12*84</f>
        <v>35280</v>
      </c>
      <c r="I42" s="5"/>
      <c r="J42" s="5"/>
      <c r="K42" s="33">
        <f>D42+F42+H42+J42</f>
        <v>106560</v>
      </c>
      <c r="L42" s="48">
        <v>106560</v>
      </c>
      <c r="M42" s="48"/>
      <c r="N42" s="48"/>
      <c r="O42" s="19">
        <f t="shared" si="7"/>
        <v>106560</v>
      </c>
      <c r="P42" s="56">
        <f t="shared" si="2"/>
        <v>0</v>
      </c>
    </row>
    <row r="43" spans="1:17" ht="15" customHeight="1" x14ac:dyDescent="0.25">
      <c r="A43" s="21" t="s">
        <v>18</v>
      </c>
      <c r="B43" s="17" t="s">
        <v>6</v>
      </c>
      <c r="C43" s="2">
        <v>2.63</v>
      </c>
      <c r="D43" s="5">
        <f>C43*12*C4</f>
        <v>202428.99600000001</v>
      </c>
      <c r="E43" s="5">
        <v>2.63</v>
      </c>
      <c r="F43" s="5">
        <f>E43*12*E4</f>
        <v>201595.81199999998</v>
      </c>
      <c r="G43" s="5">
        <v>2.63</v>
      </c>
      <c r="H43" s="5">
        <f>G43*12*G4</f>
        <v>205055.41919999997</v>
      </c>
      <c r="I43" s="5"/>
      <c r="J43" s="5"/>
      <c r="K43" s="33">
        <f>D43+F43+H43+J43</f>
        <v>609080.22719999996</v>
      </c>
      <c r="L43" s="48">
        <v>545615</v>
      </c>
      <c r="M43" s="48"/>
      <c r="N43" s="48"/>
      <c r="O43" s="19">
        <f t="shared" si="7"/>
        <v>545615</v>
      </c>
      <c r="P43" s="56">
        <f t="shared" si="2"/>
        <v>63465.227199999965</v>
      </c>
      <c r="Q43" s="12" t="s">
        <v>78</v>
      </c>
    </row>
    <row r="44" spans="1:17" ht="15" customHeight="1" x14ac:dyDescent="0.25">
      <c r="A44" s="21" t="s">
        <v>57</v>
      </c>
      <c r="B44" s="17" t="s">
        <v>3</v>
      </c>
      <c r="C44" s="2">
        <v>1</v>
      </c>
      <c r="D44" s="5">
        <f>C44*12*C4</f>
        <v>76969.200000000012</v>
      </c>
      <c r="E44" s="5">
        <v>1.5</v>
      </c>
      <c r="F44" s="5">
        <f>E44*12*E4</f>
        <v>114978.59999999999</v>
      </c>
      <c r="G44" s="5">
        <v>2</v>
      </c>
      <c r="H44" s="5">
        <f>G44*12*G4</f>
        <v>155935.67999999999</v>
      </c>
      <c r="I44" s="5"/>
      <c r="J44" s="5"/>
      <c r="K44" s="33">
        <f>D44+F44+H44+J44-F44</f>
        <v>232904.88</v>
      </c>
      <c r="L44" s="48">
        <f>SUM(L45:L47)</f>
        <v>156696</v>
      </c>
      <c r="M44" s="48">
        <f t="shared" ref="M44:N44" si="15">SUM(M45:M47)</f>
        <v>0</v>
      </c>
      <c r="N44" s="48">
        <f t="shared" si="15"/>
        <v>0</v>
      </c>
      <c r="O44" s="19">
        <f t="shared" si="7"/>
        <v>156696</v>
      </c>
      <c r="P44" s="56">
        <f>K44-O44</f>
        <v>76208.88</v>
      </c>
    </row>
    <row r="45" spans="1:17" ht="50.25" customHeight="1" x14ac:dyDescent="0.25">
      <c r="A45" s="152" t="s">
        <v>271</v>
      </c>
      <c r="B45" s="25" t="s">
        <v>224</v>
      </c>
      <c r="C45" s="153"/>
      <c r="D45" s="154"/>
      <c r="E45" s="154"/>
      <c r="F45" s="154"/>
      <c r="G45" s="154"/>
      <c r="H45" s="154"/>
      <c r="I45" s="154"/>
      <c r="J45" s="154"/>
      <c r="K45" s="155"/>
      <c r="L45" s="156">
        <v>113164</v>
      </c>
      <c r="M45" s="156"/>
      <c r="N45" s="156"/>
      <c r="O45" s="157"/>
      <c r="P45" s="158"/>
    </row>
    <row r="46" spans="1:17" ht="28.5" customHeight="1" x14ac:dyDescent="0.25">
      <c r="A46" s="152" t="s">
        <v>672</v>
      </c>
      <c r="B46" s="25" t="s">
        <v>80</v>
      </c>
      <c r="C46" s="153"/>
      <c r="D46" s="154"/>
      <c r="E46" s="154"/>
      <c r="F46" s="154"/>
      <c r="G46" s="154"/>
      <c r="H46" s="154"/>
      <c r="I46" s="154"/>
      <c r="J46" s="154"/>
      <c r="K46" s="155"/>
      <c r="L46" s="48">
        <f>40032+3500</f>
        <v>43532</v>
      </c>
      <c r="M46" s="156"/>
      <c r="N46" s="156"/>
      <c r="O46" s="157"/>
      <c r="P46" s="158"/>
    </row>
    <row r="47" spans="1:17" ht="15" customHeight="1" x14ac:dyDescent="0.25">
      <c r="B47" s="17"/>
      <c r="C47" s="2"/>
      <c r="D47" s="5"/>
      <c r="E47" s="5"/>
      <c r="F47" s="5"/>
      <c r="G47" s="5"/>
      <c r="H47" s="5"/>
      <c r="I47" s="5"/>
      <c r="J47" s="5"/>
      <c r="K47" s="33"/>
      <c r="L47" s="48"/>
      <c r="M47" s="48"/>
      <c r="N47" s="48"/>
      <c r="O47" s="19"/>
      <c r="P47" s="56"/>
    </row>
    <row r="48" spans="1:17" ht="15" customHeight="1" x14ac:dyDescent="0.25">
      <c r="A48" s="21" t="s">
        <v>84</v>
      </c>
      <c r="B48" s="17" t="s">
        <v>669</v>
      </c>
      <c r="C48" s="2"/>
      <c r="D48" s="5"/>
      <c r="E48" s="5"/>
      <c r="F48" s="5"/>
      <c r="G48" s="5"/>
      <c r="H48" s="5"/>
      <c r="I48" s="5"/>
      <c r="J48" s="5"/>
      <c r="K48" s="33">
        <f>E78</f>
        <v>125788</v>
      </c>
      <c r="L48" s="48">
        <f>L49</f>
        <v>48670.63</v>
      </c>
      <c r="M48" s="48"/>
      <c r="N48" s="48"/>
      <c r="O48" s="19">
        <f>L48+M48+N48</f>
        <v>48670.63</v>
      </c>
      <c r="P48" s="56">
        <f>K48-O48</f>
        <v>77117.37</v>
      </c>
    </row>
    <row r="49" spans="1:16" ht="25.5" customHeight="1" x14ac:dyDescent="0.25">
      <c r="A49" s="21" t="s">
        <v>670</v>
      </c>
      <c r="B49" s="25" t="s">
        <v>671</v>
      </c>
      <c r="C49" s="2"/>
      <c r="D49" s="5"/>
      <c r="E49" s="5"/>
      <c r="F49" s="5"/>
      <c r="G49" s="5"/>
      <c r="H49" s="5"/>
      <c r="I49" s="5"/>
      <c r="J49" s="5"/>
      <c r="K49" s="39"/>
      <c r="L49" s="48">
        <v>48670.63</v>
      </c>
      <c r="M49" s="48"/>
      <c r="N49" s="48"/>
      <c r="O49" s="19"/>
      <c r="P49" s="56"/>
    </row>
    <row r="50" spans="1:16" ht="25.5" customHeight="1" x14ac:dyDescent="0.25">
      <c r="A50" s="21" t="s">
        <v>88</v>
      </c>
      <c r="B50" s="17" t="s">
        <v>85</v>
      </c>
      <c r="C50" s="2"/>
      <c r="D50" s="5"/>
      <c r="E50" s="5"/>
      <c r="F50" s="5"/>
      <c r="G50" s="5"/>
      <c r="H50" s="5"/>
      <c r="I50" s="5"/>
      <c r="J50" s="5"/>
      <c r="K50" s="39"/>
      <c r="L50" s="48"/>
      <c r="M50" s="48"/>
      <c r="N50" s="48"/>
      <c r="O50" s="19"/>
      <c r="P50" s="75"/>
    </row>
    <row r="51" spans="1:16" ht="36.75" customHeight="1" x14ac:dyDescent="0.25">
      <c r="A51" s="21" t="s">
        <v>673</v>
      </c>
      <c r="B51" s="25" t="s">
        <v>0</v>
      </c>
      <c r="C51" s="2"/>
      <c r="D51" s="5"/>
      <c r="E51" s="5"/>
      <c r="F51" s="5"/>
      <c r="G51" s="5"/>
      <c r="H51" s="5"/>
      <c r="I51" s="5"/>
      <c r="J51" s="5"/>
      <c r="K51" s="39"/>
      <c r="L51" s="48"/>
      <c r="M51" s="48"/>
      <c r="N51" s="48"/>
      <c r="O51" s="19"/>
      <c r="P51" s="75">
        <f>P9</f>
        <v>-18611.832201893681</v>
      </c>
    </row>
    <row r="52" spans="1:16" ht="27" customHeight="1" x14ac:dyDescent="0.25">
      <c r="A52" s="21" t="s">
        <v>684</v>
      </c>
      <c r="B52" s="25" t="s">
        <v>1</v>
      </c>
      <c r="C52" s="2"/>
      <c r="D52" s="5"/>
      <c r="E52" s="5"/>
      <c r="F52" s="5"/>
      <c r="G52" s="5"/>
      <c r="H52" s="5"/>
      <c r="I52" s="5"/>
      <c r="J52" s="5"/>
      <c r="K52" s="39"/>
      <c r="L52" s="48"/>
      <c r="M52" s="48"/>
      <c r="N52" s="47"/>
      <c r="O52" s="19"/>
      <c r="P52" s="75">
        <f>P13</f>
        <v>-193047.66039999999</v>
      </c>
    </row>
    <row r="53" spans="1:16" ht="27" customHeight="1" x14ac:dyDescent="0.25">
      <c r="A53" s="21" t="s">
        <v>685</v>
      </c>
      <c r="B53" s="22" t="s">
        <v>82</v>
      </c>
      <c r="C53" s="2"/>
      <c r="D53" s="5"/>
      <c r="E53" s="5"/>
      <c r="F53" s="5"/>
      <c r="G53" s="5"/>
      <c r="H53" s="5"/>
      <c r="I53" s="5"/>
      <c r="J53" s="5"/>
      <c r="K53" s="39"/>
      <c r="L53" s="48"/>
      <c r="M53" s="48"/>
      <c r="N53" s="47"/>
      <c r="O53" s="19"/>
      <c r="P53" s="75">
        <f>P31</f>
        <v>-46505.288965485866</v>
      </c>
    </row>
    <row r="54" spans="1:16" ht="27" customHeight="1" x14ac:dyDescent="0.25">
      <c r="A54" s="21" t="s">
        <v>686</v>
      </c>
      <c r="B54" s="22" t="s">
        <v>31</v>
      </c>
      <c r="C54" s="2"/>
      <c r="D54" s="5"/>
      <c r="E54" s="5"/>
      <c r="F54" s="5"/>
      <c r="G54" s="5"/>
      <c r="H54" s="5"/>
      <c r="I54" s="5"/>
      <c r="J54" s="5"/>
      <c r="K54" s="39"/>
      <c r="L54" s="48"/>
      <c r="M54" s="48"/>
      <c r="N54" s="47"/>
      <c r="O54" s="19"/>
      <c r="P54" s="102">
        <f>P27</f>
        <v>-20508.733604245237</v>
      </c>
    </row>
    <row r="55" spans="1:16" ht="27" customHeight="1" x14ac:dyDescent="0.25">
      <c r="A55" s="21" t="s">
        <v>687</v>
      </c>
      <c r="B55" s="22" t="s">
        <v>33</v>
      </c>
      <c r="C55" s="2"/>
      <c r="D55" s="5"/>
      <c r="E55" s="5"/>
      <c r="F55" s="5"/>
      <c r="G55" s="5"/>
      <c r="H55" s="5"/>
      <c r="I55" s="5"/>
      <c r="J55" s="5"/>
      <c r="K55" s="39"/>
      <c r="L55" s="48"/>
      <c r="M55" s="48"/>
      <c r="N55" s="47"/>
      <c r="O55" s="19"/>
      <c r="P55" s="102">
        <f>P29</f>
        <v>-8377.9525637061342</v>
      </c>
    </row>
    <row r="56" spans="1:16" ht="27" customHeight="1" x14ac:dyDescent="0.25">
      <c r="A56" s="21" t="s">
        <v>690</v>
      </c>
      <c r="B56" s="22" t="s">
        <v>36</v>
      </c>
      <c r="C56" s="2"/>
      <c r="D56" s="5"/>
      <c r="E56" s="5"/>
      <c r="F56" s="5"/>
      <c r="G56" s="5"/>
      <c r="H56" s="5"/>
      <c r="I56" s="5"/>
      <c r="J56" s="5"/>
      <c r="K56" s="39"/>
      <c r="L56" s="48"/>
      <c r="M56" s="48"/>
      <c r="N56" s="47"/>
      <c r="O56" s="19"/>
      <c r="P56" s="102">
        <f>P30</f>
        <v>-2615.4612307424431</v>
      </c>
    </row>
    <row r="57" spans="1:16" ht="27" customHeight="1" x14ac:dyDescent="0.25">
      <c r="A57" s="21" t="s">
        <v>691</v>
      </c>
      <c r="B57" s="22" t="s">
        <v>83</v>
      </c>
      <c r="C57" s="2"/>
      <c r="D57" s="5"/>
      <c r="E57" s="5"/>
      <c r="F57" s="5"/>
      <c r="G57" s="5"/>
      <c r="H57" s="5"/>
      <c r="I57" s="5"/>
      <c r="J57" s="5"/>
      <c r="K57" s="39"/>
      <c r="L57" s="48"/>
      <c r="M57" s="48"/>
      <c r="N57" s="47"/>
      <c r="O57" s="19"/>
      <c r="P57" s="75">
        <f>P32</f>
        <v>-57937.742606596796</v>
      </c>
    </row>
    <row r="58" spans="1:16" ht="27" customHeight="1" x14ac:dyDescent="0.25">
      <c r="A58" s="590" t="s">
        <v>87</v>
      </c>
      <c r="B58" s="590"/>
      <c r="C58" s="2"/>
      <c r="D58" s="5"/>
      <c r="E58" s="5"/>
      <c r="F58" s="5"/>
      <c r="G58" s="5"/>
      <c r="H58" s="5"/>
      <c r="I58" s="5"/>
      <c r="J58" s="5"/>
      <c r="K58" s="39"/>
      <c r="L58" s="48"/>
      <c r="M58" s="48"/>
      <c r="N58" s="47"/>
      <c r="O58" s="19"/>
      <c r="P58" s="56">
        <f>SUM(P51:P57)</f>
        <v>-347604.67157267017</v>
      </c>
    </row>
    <row r="59" spans="1:16" ht="27" customHeight="1" x14ac:dyDescent="0.25">
      <c r="A59" s="21" t="s">
        <v>674</v>
      </c>
      <c r="B59" s="63" t="s">
        <v>89</v>
      </c>
      <c r="C59" s="2"/>
      <c r="D59" s="5"/>
      <c r="E59" s="5"/>
      <c r="F59" s="5"/>
      <c r="G59" s="5"/>
      <c r="H59" s="5"/>
      <c r="I59" s="5"/>
      <c r="J59" s="5"/>
      <c r="K59" s="39"/>
      <c r="L59" s="48"/>
      <c r="M59" s="48"/>
      <c r="N59" s="47"/>
      <c r="O59" s="19"/>
      <c r="P59" s="56"/>
    </row>
    <row r="60" spans="1:16" ht="27" customHeight="1" x14ac:dyDescent="0.25">
      <c r="A60" s="21" t="s">
        <v>688</v>
      </c>
      <c r="B60" s="352" t="s">
        <v>689</v>
      </c>
      <c r="C60" s="2"/>
      <c r="D60" s="5"/>
      <c r="E60" s="5"/>
      <c r="F60" s="5"/>
      <c r="G60" s="5"/>
      <c r="H60" s="5"/>
      <c r="I60" s="5"/>
      <c r="J60" s="5"/>
      <c r="K60" s="39"/>
      <c r="L60" s="48"/>
      <c r="M60" s="48"/>
      <c r="N60" s="47"/>
      <c r="O60" s="19"/>
      <c r="P60" s="102">
        <f>G78</f>
        <v>125788</v>
      </c>
    </row>
    <row r="61" spans="1:16" ht="27" customHeight="1" x14ac:dyDescent="0.25">
      <c r="A61" s="21" t="s">
        <v>676</v>
      </c>
      <c r="B61" s="22" t="s">
        <v>32</v>
      </c>
      <c r="C61" s="2"/>
      <c r="D61" s="5"/>
      <c r="E61" s="5"/>
      <c r="F61" s="5"/>
      <c r="G61" s="5"/>
      <c r="H61" s="5"/>
      <c r="I61" s="5"/>
      <c r="J61" s="5"/>
      <c r="K61" s="39"/>
      <c r="L61" s="48"/>
      <c r="M61" s="48"/>
      <c r="N61" s="47"/>
      <c r="O61" s="19"/>
      <c r="P61" s="75">
        <f>P28</f>
        <v>113945.60339635494</v>
      </c>
    </row>
    <row r="62" spans="1:16" ht="27" customHeight="1" x14ac:dyDescent="0.25">
      <c r="A62" s="21" t="s">
        <v>677</v>
      </c>
      <c r="B62" s="22" t="s">
        <v>28</v>
      </c>
      <c r="C62" s="2"/>
      <c r="D62" s="5"/>
      <c r="E62" s="5"/>
      <c r="F62" s="5"/>
      <c r="G62" s="5"/>
      <c r="H62" s="5"/>
      <c r="I62" s="5"/>
      <c r="J62" s="5"/>
      <c r="K62" s="39"/>
      <c r="L62" s="48"/>
      <c r="M62" s="48"/>
      <c r="N62" s="47"/>
      <c r="O62" s="19"/>
      <c r="P62" s="75">
        <f>P24</f>
        <v>45326.876851627123</v>
      </c>
    </row>
    <row r="63" spans="1:16" ht="27" customHeight="1" x14ac:dyDescent="0.25">
      <c r="A63" s="21" t="s">
        <v>678</v>
      </c>
      <c r="B63" s="22" t="s">
        <v>6</v>
      </c>
      <c r="C63" s="2"/>
      <c r="D63" s="5"/>
      <c r="E63" s="5"/>
      <c r="F63" s="5"/>
      <c r="G63" s="5"/>
      <c r="H63" s="5"/>
      <c r="I63" s="5"/>
      <c r="J63" s="5"/>
      <c r="K63" s="39"/>
      <c r="L63" s="48"/>
      <c r="M63" s="48"/>
      <c r="N63" s="47"/>
      <c r="O63" s="19"/>
      <c r="P63" s="102">
        <f>P43</f>
        <v>63465.227199999965</v>
      </c>
    </row>
    <row r="64" spans="1:16" ht="27" customHeight="1" x14ac:dyDescent="0.25">
      <c r="A64" s="591" t="s">
        <v>87</v>
      </c>
      <c r="B64" s="592"/>
      <c r="C64" s="2"/>
      <c r="D64" s="5"/>
      <c r="E64" s="5"/>
      <c r="F64" s="5"/>
      <c r="G64" s="5"/>
      <c r="H64" s="5"/>
      <c r="I64" s="5"/>
      <c r="J64" s="5"/>
      <c r="K64" s="39"/>
      <c r="L64" s="48"/>
      <c r="M64" s="48"/>
      <c r="N64" s="47"/>
      <c r="O64" s="19"/>
      <c r="P64" s="56">
        <f>SUM(P60:P63)</f>
        <v>348525.70744798204</v>
      </c>
    </row>
    <row r="65" spans="1:16" ht="27" hidden="1" customHeight="1" x14ac:dyDescent="0.25">
      <c r="A65" s="353"/>
      <c r="B65" s="354"/>
      <c r="C65" s="2"/>
      <c r="D65" s="5"/>
      <c r="E65" s="5"/>
      <c r="F65" s="5"/>
      <c r="G65" s="5"/>
      <c r="H65" s="5"/>
      <c r="I65" s="5"/>
      <c r="J65" s="5"/>
      <c r="K65" s="39"/>
      <c r="L65" s="48"/>
      <c r="M65" s="48"/>
      <c r="N65" s="47"/>
      <c r="O65" s="19"/>
      <c r="P65" s="56"/>
    </row>
    <row r="66" spans="1:16" s="28" customFormat="1" ht="45" customHeight="1" x14ac:dyDescent="0.25">
      <c r="A66" s="26"/>
      <c r="B66" s="27" t="s">
        <v>61</v>
      </c>
      <c r="C66" s="18">
        <f>D66/C4/12</f>
        <v>19.047221122215124</v>
      </c>
      <c r="D66" s="18">
        <f>D9+D13+D22+D41+D42+D43+D44</f>
        <v>1466049.3720000002</v>
      </c>
      <c r="E66" s="18">
        <f>F66/E4/12</f>
        <v>19.544501933403261</v>
      </c>
      <c r="F66" s="18">
        <f>F9+F13+F22+F41+F42+F43+F44</f>
        <v>1498132.98</v>
      </c>
      <c r="G66" s="18">
        <f>H66/G4/12</f>
        <v>20.013596744503886</v>
      </c>
      <c r="H66" s="18">
        <f>H9+H13+H22+H41+H42+H43+H44</f>
        <v>1560416.9087999999</v>
      </c>
      <c r="I66" s="18"/>
      <c r="J66" s="18"/>
      <c r="K66" s="33">
        <f>K9+K13+K22+K41+K42+K43</f>
        <v>4176715.7808000003</v>
      </c>
      <c r="L66" s="51">
        <f>L9+L13+L22+L41+L42+L43</f>
        <v>4166389.9545170804</v>
      </c>
      <c r="M66" s="51">
        <f>M9+M13+M22+M41+M42+M43</f>
        <v>100024.61399929981</v>
      </c>
      <c r="N66" s="51">
        <f>N9+N13+N22+N41+N42+N43</f>
        <v>30150.458480643316</v>
      </c>
      <c r="O66" s="19">
        <f>O9+O13+O22+O41+O42+O43</f>
        <v>4296565.0269970242</v>
      </c>
      <c r="P66" s="56">
        <f t="shared" si="2"/>
        <v>-119849.24619702389</v>
      </c>
    </row>
    <row r="67" spans="1:16" s="11" customFormat="1" ht="16.5" customHeight="1" x14ac:dyDescent="0.25">
      <c r="A67" s="6"/>
      <c r="B67" s="7"/>
      <c r="C67" s="40"/>
      <c r="D67" s="58"/>
      <c r="E67" s="40"/>
      <c r="F67" s="40"/>
      <c r="G67" s="40"/>
      <c r="H67" s="40"/>
      <c r="I67" s="40"/>
      <c r="J67" s="40"/>
      <c r="K67" s="40"/>
      <c r="L67" s="42"/>
      <c r="M67" s="42"/>
      <c r="N67" s="42"/>
      <c r="O67" s="42"/>
      <c r="P67" s="42"/>
    </row>
    <row r="68" spans="1:16" s="11" customFormat="1" ht="19.5" customHeight="1" x14ac:dyDescent="0.25">
      <c r="A68" s="6"/>
      <c r="B68" s="7"/>
      <c r="C68" s="40"/>
      <c r="D68" s="58"/>
      <c r="E68" s="40"/>
      <c r="F68" s="40"/>
      <c r="G68" s="40"/>
      <c r="H68" s="40"/>
      <c r="I68" s="40"/>
      <c r="J68" s="40"/>
      <c r="K68" s="40"/>
      <c r="L68" s="42"/>
      <c r="M68" s="42"/>
      <c r="N68" s="42"/>
      <c r="O68" s="42"/>
      <c r="P68" s="42"/>
    </row>
    <row r="69" spans="1:16" s="31" customFormat="1" ht="12" hidden="1" customHeight="1" x14ac:dyDescent="0.25">
      <c r="A69" s="77"/>
      <c r="B69" s="30" t="s">
        <v>64</v>
      </c>
      <c r="C69" s="59"/>
      <c r="D69" s="60" t="s">
        <v>62</v>
      </c>
      <c r="E69" s="61"/>
      <c r="F69" s="62">
        <f>D66+F66+H66</f>
        <v>4524599.2608000003</v>
      </c>
      <c r="G69" s="41"/>
      <c r="H69" s="41"/>
      <c r="I69" s="59" t="s">
        <v>63</v>
      </c>
      <c r="J69" s="62">
        <f>J66</f>
        <v>0</v>
      </c>
      <c r="K69" s="43">
        <f>F69+J69</f>
        <v>4524599.2608000003</v>
      </c>
      <c r="L69" s="44"/>
      <c r="M69" s="44"/>
      <c r="N69" s="44"/>
      <c r="O69" s="44"/>
      <c r="P69" s="44"/>
    </row>
    <row r="70" spans="1:16" s="31" customFormat="1" ht="12" customHeight="1" x14ac:dyDescent="0.25">
      <c r="A70" s="77"/>
      <c r="B70" s="30"/>
      <c r="C70" s="69"/>
      <c r="D70" s="70"/>
      <c r="E70" s="69"/>
      <c r="F70" s="71"/>
      <c r="G70" s="41"/>
      <c r="H70" s="41"/>
      <c r="I70" s="69"/>
      <c r="J70" s="71"/>
      <c r="K70" s="43"/>
      <c r="L70" s="44"/>
      <c r="M70" s="44"/>
      <c r="N70" s="44"/>
      <c r="O70" s="44"/>
      <c r="P70" s="44"/>
    </row>
    <row r="71" spans="1:16" s="31" customFormat="1" ht="12" customHeight="1" x14ac:dyDescent="0.25">
      <c r="A71" s="593" t="s">
        <v>112</v>
      </c>
      <c r="B71" s="593"/>
      <c r="C71" s="593"/>
      <c r="D71" s="593"/>
      <c r="E71" s="593"/>
      <c r="F71" s="593"/>
      <c r="G71" s="593"/>
      <c r="H71" s="41"/>
      <c r="I71" s="69"/>
      <c r="J71" s="71"/>
      <c r="K71" s="43"/>
      <c r="L71" s="44"/>
      <c r="M71" s="44"/>
      <c r="N71" s="44"/>
      <c r="O71" s="44"/>
      <c r="P71" s="44"/>
    </row>
    <row r="72" spans="1:16" s="11" customFormat="1" x14ac:dyDescent="0.25">
      <c r="A72" s="6"/>
      <c r="B72" s="7"/>
      <c r="C72" s="40"/>
      <c r="D72" s="58"/>
      <c r="E72" s="40"/>
      <c r="F72" s="40"/>
      <c r="G72" s="40"/>
      <c r="H72" s="40"/>
      <c r="I72" s="40"/>
      <c r="J72" s="40"/>
      <c r="K72" s="40"/>
      <c r="L72" s="42"/>
      <c r="M72" s="42"/>
      <c r="N72" s="42"/>
      <c r="O72" s="42"/>
      <c r="P72" s="42"/>
    </row>
    <row r="73" spans="1:16" s="32" customFormat="1" ht="24" x14ac:dyDescent="0.25">
      <c r="A73" s="64" t="s">
        <v>96</v>
      </c>
      <c r="B73" s="65" t="s">
        <v>41</v>
      </c>
      <c r="C73" s="66" t="s">
        <v>98</v>
      </c>
      <c r="D73" s="67" t="s">
        <v>99</v>
      </c>
      <c r="E73" s="66" t="s">
        <v>100</v>
      </c>
      <c r="F73" s="66" t="s">
        <v>104</v>
      </c>
      <c r="G73" s="66" t="s">
        <v>105</v>
      </c>
      <c r="H73" s="40"/>
      <c r="I73" s="40"/>
      <c r="J73" s="40"/>
      <c r="K73" s="40"/>
      <c r="L73" s="42"/>
      <c r="M73" s="42"/>
      <c r="N73" s="42"/>
      <c r="O73" s="42"/>
      <c r="P73" s="42"/>
    </row>
    <row r="74" spans="1:16" s="32" customFormat="1" x14ac:dyDescent="0.25">
      <c r="A74" s="64" t="s">
        <v>13</v>
      </c>
      <c r="B74" s="65" t="s">
        <v>103</v>
      </c>
      <c r="C74" s="66" t="s">
        <v>67</v>
      </c>
      <c r="D74" s="67">
        <v>3000</v>
      </c>
      <c r="E74" s="66">
        <f>D74*8</f>
        <v>24000</v>
      </c>
      <c r="F74" s="66"/>
      <c r="G74" s="66"/>
      <c r="H74" s="40"/>
      <c r="I74" s="40"/>
      <c r="J74" s="40"/>
      <c r="K74" s="40"/>
      <c r="L74" s="42"/>
      <c r="M74" s="42"/>
      <c r="N74" s="42"/>
      <c r="O74" s="42"/>
      <c r="P74" s="42"/>
    </row>
    <row r="75" spans="1:16" s="32" customFormat="1" x14ac:dyDescent="0.25">
      <c r="A75" s="64" t="s">
        <v>14</v>
      </c>
      <c r="B75" s="65" t="s">
        <v>97</v>
      </c>
      <c r="C75" s="66" t="s">
        <v>67</v>
      </c>
      <c r="D75" s="67">
        <v>3000</v>
      </c>
      <c r="E75" s="66">
        <f>D75*12+9700</f>
        <v>45700</v>
      </c>
      <c r="F75" s="66"/>
      <c r="G75" s="66"/>
      <c r="H75" s="40"/>
      <c r="I75" s="40"/>
      <c r="J75" s="40"/>
      <c r="K75" s="40"/>
      <c r="L75" s="42"/>
      <c r="M75" s="42"/>
      <c r="N75" s="42"/>
      <c r="O75" s="42"/>
      <c r="P75" s="42"/>
    </row>
    <row r="76" spans="1:16" s="32" customFormat="1" x14ac:dyDescent="0.25">
      <c r="A76" s="64" t="s">
        <v>15</v>
      </c>
      <c r="B76" s="65" t="s">
        <v>101</v>
      </c>
      <c r="C76" s="66" t="s">
        <v>67</v>
      </c>
      <c r="D76" s="67">
        <v>3000</v>
      </c>
      <c r="E76" s="66">
        <f>D76*12</f>
        <v>36000</v>
      </c>
      <c r="F76" s="66"/>
      <c r="G76" s="66"/>
      <c r="H76" s="40"/>
      <c r="I76" s="40"/>
      <c r="J76" s="40"/>
      <c r="K76" s="40"/>
      <c r="L76" s="42"/>
      <c r="M76" s="42"/>
      <c r="N76" s="42"/>
      <c r="O76" s="42"/>
      <c r="P76" s="42"/>
    </row>
    <row r="77" spans="1:16" s="32" customFormat="1" x14ac:dyDescent="0.25">
      <c r="A77" s="64" t="s">
        <v>16</v>
      </c>
      <c r="B77" s="65" t="s">
        <v>102</v>
      </c>
      <c r="C77" s="66" t="s">
        <v>67</v>
      </c>
      <c r="D77" s="67">
        <v>1674</v>
      </c>
      <c r="E77" s="66">
        <f>D77*12</f>
        <v>20088</v>
      </c>
      <c r="F77" s="66"/>
      <c r="G77" s="66"/>
      <c r="H77" s="40"/>
      <c r="I77" s="40"/>
      <c r="J77" s="40"/>
      <c r="K77" s="40"/>
      <c r="L77" s="42"/>
      <c r="M77" s="42"/>
      <c r="N77" s="42"/>
      <c r="O77" s="42"/>
      <c r="P77" s="42"/>
    </row>
    <row r="78" spans="1:16" s="32" customFormat="1" x14ac:dyDescent="0.25">
      <c r="A78" s="64"/>
      <c r="B78" s="65"/>
      <c r="C78" s="66"/>
      <c r="D78" s="67"/>
      <c r="E78" s="66">
        <f>SUM(E74:E77)</f>
        <v>125788</v>
      </c>
      <c r="F78" s="66"/>
      <c r="G78" s="66">
        <f>E78-F78</f>
        <v>125788</v>
      </c>
      <c r="H78" s="40"/>
      <c r="I78" s="40"/>
      <c r="J78" s="40"/>
      <c r="K78" s="40"/>
      <c r="L78" s="42"/>
      <c r="M78" s="42"/>
      <c r="N78" s="42"/>
      <c r="O78" s="42"/>
      <c r="P78" s="42"/>
    </row>
    <row r="79" spans="1:16" s="32" customFormat="1" x14ac:dyDescent="0.25">
      <c r="A79" s="64" t="s">
        <v>13</v>
      </c>
      <c r="B79" s="65" t="s">
        <v>103</v>
      </c>
      <c r="C79" s="66">
        <v>86</v>
      </c>
      <c r="E79" s="67">
        <f>3500*5</f>
        <v>17500</v>
      </c>
      <c r="F79" s="66"/>
      <c r="G79" s="66"/>
      <c r="H79" s="40"/>
      <c r="I79" s="40"/>
      <c r="J79" s="40"/>
      <c r="K79" s="40"/>
      <c r="L79" s="42"/>
      <c r="M79" s="42"/>
      <c r="N79" s="42"/>
      <c r="O79" s="42"/>
      <c r="P79" s="42"/>
    </row>
    <row r="80" spans="1:16" s="32" customFormat="1" x14ac:dyDescent="0.25">
      <c r="A80" s="64" t="s">
        <v>14</v>
      </c>
      <c r="B80" s="65" t="s">
        <v>106</v>
      </c>
      <c r="C80" s="66">
        <v>86</v>
      </c>
      <c r="D80" s="68"/>
      <c r="E80" s="66">
        <v>9000</v>
      </c>
      <c r="F80" s="66"/>
      <c r="G80" s="66"/>
      <c r="H80" s="40"/>
      <c r="I80" s="40"/>
      <c r="J80" s="40"/>
      <c r="K80" s="40"/>
      <c r="L80" s="42"/>
      <c r="M80" s="42"/>
      <c r="N80" s="42"/>
      <c r="O80" s="42"/>
      <c r="P80" s="42"/>
    </row>
    <row r="81" spans="1:16" s="11" customFormat="1" x14ac:dyDescent="0.25">
      <c r="A81" s="64" t="s">
        <v>15</v>
      </c>
      <c r="B81" s="65" t="s">
        <v>107</v>
      </c>
      <c r="C81" s="66">
        <v>86</v>
      </c>
      <c r="D81" s="67">
        <v>500</v>
      </c>
      <c r="E81" s="66">
        <f>D81*5</f>
        <v>2500</v>
      </c>
      <c r="F81" s="66"/>
      <c r="G81" s="66"/>
      <c r="H81" s="40"/>
      <c r="I81" s="40"/>
      <c r="J81" s="40"/>
      <c r="K81" s="40"/>
      <c r="L81" s="42"/>
      <c r="M81" s="42"/>
      <c r="N81" s="42"/>
      <c r="O81" s="42"/>
      <c r="P81" s="42"/>
    </row>
    <row r="82" spans="1:16" s="11" customFormat="1" x14ac:dyDescent="0.25">
      <c r="A82" s="64" t="s">
        <v>16</v>
      </c>
      <c r="B82" s="65" t="s">
        <v>108</v>
      </c>
      <c r="C82" s="66">
        <v>86</v>
      </c>
      <c r="D82" s="67">
        <v>500</v>
      </c>
      <c r="E82" s="66">
        <f>D82*5</f>
        <v>2500</v>
      </c>
      <c r="F82" s="66"/>
      <c r="G82" s="66"/>
      <c r="H82" s="40"/>
      <c r="I82" s="40"/>
      <c r="J82" s="40"/>
      <c r="K82" s="40"/>
      <c r="L82" s="42"/>
      <c r="M82" s="42"/>
      <c r="N82" s="42"/>
      <c r="O82" s="42"/>
      <c r="P82" s="42"/>
    </row>
    <row r="83" spans="1:16" s="11" customFormat="1" x14ac:dyDescent="0.25">
      <c r="A83" s="64" t="s">
        <v>17</v>
      </c>
      <c r="B83" s="65" t="s">
        <v>109</v>
      </c>
      <c r="C83" s="66">
        <v>86</v>
      </c>
      <c r="D83" s="67">
        <v>500</v>
      </c>
      <c r="E83" s="66">
        <f>D83*5</f>
        <v>2500</v>
      </c>
      <c r="F83" s="66"/>
      <c r="G83" s="66"/>
      <c r="H83" s="40"/>
      <c r="I83" s="40"/>
      <c r="J83" s="40"/>
      <c r="K83" s="40"/>
      <c r="L83" s="42"/>
      <c r="M83" s="42"/>
      <c r="N83" s="42"/>
      <c r="O83" s="42"/>
      <c r="P83" s="42"/>
    </row>
    <row r="84" spans="1:16" s="11" customFormat="1" x14ac:dyDescent="0.25">
      <c r="A84" s="64" t="s">
        <v>18</v>
      </c>
      <c r="B84" s="65" t="s">
        <v>110</v>
      </c>
      <c r="C84" s="66">
        <v>86</v>
      </c>
      <c r="D84" s="67">
        <v>500</v>
      </c>
      <c r="E84" s="66">
        <f>D84*4</f>
        <v>2000</v>
      </c>
      <c r="F84" s="66"/>
      <c r="G84" s="66"/>
      <c r="H84" s="40"/>
      <c r="I84" s="40"/>
      <c r="J84" s="40"/>
      <c r="K84" s="40"/>
      <c r="L84" s="42"/>
      <c r="M84" s="42"/>
      <c r="N84" s="42"/>
      <c r="O84" s="42"/>
      <c r="P84" s="42"/>
    </row>
    <row r="85" spans="1:16" s="11" customFormat="1" x14ac:dyDescent="0.25">
      <c r="A85" s="64" t="s">
        <v>57</v>
      </c>
      <c r="B85" s="65" t="s">
        <v>111</v>
      </c>
      <c r="C85" s="66">
        <v>86</v>
      </c>
      <c r="D85" s="67">
        <v>10000</v>
      </c>
      <c r="E85" s="66">
        <f>D85*1.5</f>
        <v>15000</v>
      </c>
      <c r="F85" s="66"/>
      <c r="G85" s="66"/>
      <c r="H85" s="40"/>
      <c r="I85" s="40"/>
      <c r="J85" s="40"/>
      <c r="K85" s="40"/>
      <c r="L85" s="42"/>
      <c r="M85" s="42"/>
      <c r="N85" s="42"/>
      <c r="O85" s="42"/>
      <c r="P85" s="42"/>
    </row>
    <row r="86" spans="1:16" s="11" customFormat="1" x14ac:dyDescent="0.25">
      <c r="A86" s="64"/>
      <c r="B86" s="65"/>
      <c r="C86" s="66"/>
      <c r="D86" s="67"/>
      <c r="E86" s="67">
        <f>SUM(E79:E85)</f>
        <v>51000</v>
      </c>
      <c r="F86" s="66"/>
      <c r="G86" s="66">
        <f>E86-F86</f>
        <v>51000</v>
      </c>
      <c r="H86" s="40"/>
      <c r="I86" s="40"/>
      <c r="J86" s="40"/>
      <c r="K86" s="40"/>
      <c r="L86" s="42"/>
      <c r="M86" s="42"/>
      <c r="N86" s="42"/>
      <c r="O86" s="42"/>
      <c r="P86" s="42"/>
    </row>
    <row r="87" spans="1:16" s="11" customFormat="1" x14ac:dyDescent="0.25">
      <c r="A87" s="6"/>
      <c r="B87" s="7"/>
      <c r="C87" s="40"/>
      <c r="D87" s="58"/>
      <c r="E87" s="40"/>
      <c r="F87" s="40"/>
      <c r="G87" s="40"/>
      <c r="H87" s="40"/>
      <c r="I87" s="40"/>
      <c r="J87" s="40"/>
      <c r="K87" s="40"/>
      <c r="L87" s="42"/>
      <c r="M87" s="42"/>
      <c r="N87" s="42"/>
      <c r="O87" s="42"/>
      <c r="P87" s="42"/>
    </row>
    <row r="88" spans="1:16" s="11" customFormat="1" hidden="1" x14ac:dyDescent="0.25">
      <c r="A88" s="637" t="s">
        <v>680</v>
      </c>
      <c r="B88" s="637"/>
      <c r="C88" s="637"/>
      <c r="D88" s="637"/>
      <c r="E88" s="637"/>
      <c r="F88" s="637"/>
      <c r="G88" s="637"/>
      <c r="H88" s="40"/>
      <c r="I88" s="40"/>
      <c r="J88" s="40"/>
      <c r="K88" s="40"/>
      <c r="L88" s="42"/>
      <c r="M88" s="42"/>
      <c r="N88" s="42"/>
      <c r="O88" s="42"/>
      <c r="P88" s="42"/>
    </row>
    <row r="89" spans="1:16" s="11" customFormat="1" hidden="1" x14ac:dyDescent="0.25">
      <c r="A89" s="6"/>
      <c r="B89" s="7"/>
      <c r="C89" s="40"/>
      <c r="D89" s="58"/>
      <c r="E89" s="40"/>
      <c r="F89" s="40"/>
      <c r="G89" s="40"/>
      <c r="H89" s="40"/>
      <c r="I89" s="40"/>
      <c r="J89" s="40"/>
      <c r="K89" s="40"/>
      <c r="L89" s="42"/>
      <c r="M89" s="42"/>
      <c r="N89" s="42"/>
      <c r="O89" s="42"/>
      <c r="P89" s="42"/>
    </row>
    <row r="90" spans="1:16" s="11" customFormat="1" hidden="1" x14ac:dyDescent="0.25">
      <c r="A90" s="6"/>
      <c r="B90" s="7" t="s">
        <v>681</v>
      </c>
      <c r="C90" s="40"/>
      <c r="D90" s="58"/>
      <c r="E90" s="40"/>
      <c r="F90" s="40"/>
      <c r="G90" s="40"/>
      <c r="H90" s="40"/>
      <c r="I90" s="40"/>
      <c r="J90" s="40"/>
      <c r="K90" s="40"/>
      <c r="L90" s="42"/>
      <c r="M90" s="42"/>
      <c r="N90" s="42"/>
      <c r="O90" s="42"/>
      <c r="P90" s="42"/>
    </row>
    <row r="91" spans="1:16" s="11" customFormat="1" hidden="1" x14ac:dyDescent="0.25">
      <c r="A91" s="6"/>
      <c r="B91" s="7" t="s">
        <v>682</v>
      </c>
      <c r="C91" s="40"/>
      <c r="D91" s="58"/>
      <c r="E91" s="40"/>
      <c r="F91" s="40"/>
      <c r="G91" s="40"/>
      <c r="H91" s="40"/>
      <c r="I91" s="40"/>
      <c r="J91" s="40"/>
      <c r="K91" s="40"/>
      <c r="L91" s="42"/>
      <c r="M91" s="42"/>
      <c r="N91" s="42"/>
      <c r="O91" s="42"/>
      <c r="P91" s="42"/>
    </row>
    <row r="92" spans="1:16" s="11" customFormat="1" hidden="1" x14ac:dyDescent="0.25">
      <c r="A92" s="6"/>
      <c r="B92" s="7" t="s">
        <v>683</v>
      </c>
      <c r="C92" s="40"/>
      <c r="D92" s="58"/>
      <c r="E92" s="40"/>
      <c r="F92" s="40"/>
      <c r="G92" s="40"/>
      <c r="H92" s="40"/>
      <c r="I92" s="40"/>
      <c r="J92" s="40"/>
      <c r="K92" s="40"/>
      <c r="L92" s="42"/>
      <c r="M92" s="42"/>
      <c r="N92" s="42"/>
      <c r="O92" s="42"/>
      <c r="P92" s="42"/>
    </row>
    <row r="93" spans="1:16" s="11" customFormat="1" x14ac:dyDescent="0.25">
      <c r="A93" s="6"/>
      <c r="B93" s="7"/>
      <c r="C93" s="40"/>
      <c r="D93" s="58"/>
      <c r="E93" s="40"/>
      <c r="F93" s="40"/>
      <c r="G93" s="40"/>
      <c r="H93" s="40"/>
      <c r="I93" s="40"/>
      <c r="J93" s="40"/>
      <c r="K93" s="40"/>
      <c r="L93" s="42"/>
      <c r="M93" s="42"/>
      <c r="N93" s="42"/>
      <c r="O93" s="42"/>
      <c r="P93" s="42"/>
    </row>
    <row r="94" spans="1:16" s="11" customFormat="1" x14ac:dyDescent="0.25">
      <c r="A94" s="6"/>
      <c r="B94" s="7"/>
      <c r="C94" s="40"/>
      <c r="D94" s="58"/>
      <c r="E94" s="40"/>
      <c r="F94" s="40"/>
      <c r="G94" s="40"/>
      <c r="H94" s="40"/>
      <c r="I94" s="40"/>
      <c r="J94" s="40"/>
      <c r="K94" s="40"/>
      <c r="L94" s="42"/>
      <c r="M94" s="42"/>
      <c r="N94" s="42"/>
      <c r="O94" s="42"/>
      <c r="P94" s="42"/>
    </row>
    <row r="95" spans="1:16" s="11" customFormat="1" x14ac:dyDescent="0.25">
      <c r="A95" s="6"/>
      <c r="B95" s="7"/>
      <c r="C95" s="40"/>
      <c r="D95" s="58"/>
      <c r="E95" s="40"/>
      <c r="F95" s="40"/>
      <c r="G95" s="40"/>
      <c r="H95" s="40"/>
      <c r="I95" s="40"/>
      <c r="J95" s="40"/>
      <c r="K95" s="40"/>
      <c r="L95" s="42"/>
      <c r="M95" s="42"/>
      <c r="N95" s="42"/>
      <c r="O95" s="42"/>
      <c r="P95" s="42"/>
    </row>
    <row r="96" spans="1:16" s="11" customFormat="1" x14ac:dyDescent="0.25">
      <c r="A96" s="6"/>
      <c r="B96" s="7"/>
      <c r="C96" s="40"/>
      <c r="D96" s="58"/>
      <c r="E96" s="40"/>
      <c r="F96" s="40"/>
      <c r="G96" s="40"/>
      <c r="H96" s="40"/>
      <c r="I96" s="40"/>
      <c r="J96" s="40"/>
      <c r="K96" s="40"/>
      <c r="L96" s="42"/>
      <c r="M96" s="42"/>
      <c r="N96" s="42"/>
      <c r="O96" s="42"/>
      <c r="P96" s="42"/>
    </row>
    <row r="97" spans="1:16" s="11" customFormat="1" x14ac:dyDescent="0.25">
      <c r="A97" s="6"/>
      <c r="B97" s="7"/>
      <c r="C97" s="40"/>
      <c r="D97" s="58"/>
      <c r="E97" s="40"/>
      <c r="F97" s="40"/>
      <c r="G97" s="40"/>
      <c r="H97" s="40"/>
      <c r="I97" s="40"/>
      <c r="J97" s="40"/>
      <c r="K97" s="40"/>
      <c r="L97" s="42"/>
      <c r="M97" s="42"/>
      <c r="N97" s="42"/>
      <c r="O97" s="42"/>
      <c r="P97" s="42"/>
    </row>
    <row r="98" spans="1:16" s="11" customFormat="1" x14ac:dyDescent="0.25">
      <c r="A98" s="6"/>
      <c r="B98" s="7"/>
      <c r="C98" s="40"/>
      <c r="D98" s="58"/>
      <c r="E98" s="40"/>
      <c r="F98" s="40"/>
      <c r="G98" s="40"/>
      <c r="H98" s="40"/>
      <c r="I98" s="40"/>
      <c r="J98" s="40"/>
      <c r="K98" s="40"/>
      <c r="L98" s="42"/>
      <c r="M98" s="42"/>
      <c r="N98" s="42"/>
      <c r="O98" s="42"/>
      <c r="P98" s="42"/>
    </row>
    <row r="99" spans="1:16" s="11" customFormat="1" x14ac:dyDescent="0.25">
      <c r="A99" s="6"/>
      <c r="B99" s="7"/>
      <c r="C99" s="40"/>
      <c r="D99" s="58"/>
      <c r="E99" s="40"/>
      <c r="F99" s="40"/>
      <c r="G99" s="40"/>
      <c r="H99" s="40"/>
      <c r="I99" s="40"/>
      <c r="J99" s="40"/>
      <c r="K99" s="40"/>
      <c r="L99" s="42"/>
      <c r="M99" s="42"/>
      <c r="N99" s="42"/>
      <c r="O99" s="42"/>
      <c r="P99" s="42"/>
    </row>
    <row r="100" spans="1:16" s="11" customFormat="1" x14ac:dyDescent="0.25">
      <c r="A100" s="6"/>
      <c r="B100" s="7"/>
      <c r="C100" s="40"/>
      <c r="D100" s="58"/>
      <c r="E100" s="40"/>
      <c r="F100" s="40"/>
      <c r="G100" s="40"/>
      <c r="H100" s="40"/>
      <c r="I100" s="40"/>
      <c r="J100" s="40"/>
      <c r="K100" s="40"/>
      <c r="L100" s="42"/>
      <c r="M100" s="42"/>
      <c r="N100" s="42"/>
      <c r="O100" s="42"/>
      <c r="P100" s="42"/>
    </row>
    <row r="101" spans="1:16" s="11" customFormat="1" x14ac:dyDescent="0.25">
      <c r="A101" s="6"/>
      <c r="B101" s="7"/>
      <c r="C101" s="40"/>
      <c r="D101" s="58"/>
      <c r="E101" s="40"/>
      <c r="F101" s="40"/>
      <c r="G101" s="40"/>
      <c r="H101" s="40"/>
      <c r="I101" s="40"/>
      <c r="J101" s="40"/>
      <c r="K101" s="40"/>
      <c r="L101" s="42"/>
      <c r="M101" s="42"/>
      <c r="N101" s="42"/>
      <c r="O101" s="42"/>
      <c r="P101" s="42"/>
    </row>
    <row r="102" spans="1:16" s="11" customFormat="1" x14ac:dyDescent="0.25">
      <c r="A102" s="6"/>
      <c r="B102" s="7"/>
      <c r="C102" s="40"/>
      <c r="D102" s="58"/>
      <c r="E102" s="40"/>
      <c r="F102" s="40"/>
      <c r="G102" s="40"/>
      <c r="H102" s="40"/>
      <c r="I102" s="40"/>
      <c r="J102" s="40"/>
      <c r="K102" s="40"/>
      <c r="L102" s="42"/>
      <c r="M102" s="42"/>
      <c r="N102" s="42"/>
      <c r="O102" s="42"/>
      <c r="P102" s="42"/>
    </row>
    <row r="103" spans="1:16" s="11" customFormat="1" x14ac:dyDescent="0.25">
      <c r="A103" s="6"/>
      <c r="B103" s="7"/>
      <c r="C103" s="40"/>
      <c r="D103" s="58"/>
      <c r="E103" s="40"/>
      <c r="F103" s="40"/>
      <c r="G103" s="40"/>
      <c r="H103" s="40"/>
      <c r="I103" s="40"/>
      <c r="J103" s="40"/>
      <c r="K103" s="40"/>
      <c r="L103" s="42"/>
      <c r="M103" s="42"/>
      <c r="N103" s="42"/>
      <c r="O103" s="42"/>
      <c r="P103" s="42"/>
    </row>
    <row r="104" spans="1:16" s="11" customFormat="1" x14ac:dyDescent="0.25">
      <c r="A104" s="6"/>
      <c r="B104" s="7"/>
      <c r="C104" s="40"/>
      <c r="D104" s="58"/>
      <c r="E104" s="40"/>
      <c r="F104" s="40"/>
      <c r="G104" s="40"/>
      <c r="H104" s="40"/>
      <c r="I104" s="40"/>
      <c r="J104" s="40"/>
      <c r="K104" s="40"/>
      <c r="L104" s="42"/>
      <c r="M104" s="42"/>
      <c r="N104" s="42"/>
      <c r="O104" s="42"/>
      <c r="P104" s="42"/>
    </row>
    <row r="105" spans="1:16" s="11" customFormat="1" x14ac:dyDescent="0.25">
      <c r="A105" s="6"/>
      <c r="B105" s="7"/>
      <c r="C105" s="40"/>
      <c r="D105" s="58"/>
      <c r="E105" s="40"/>
      <c r="F105" s="40"/>
      <c r="G105" s="40"/>
      <c r="H105" s="40"/>
      <c r="I105" s="40"/>
      <c r="J105" s="40"/>
      <c r="K105" s="40"/>
      <c r="L105" s="42"/>
      <c r="M105" s="42"/>
      <c r="N105" s="42"/>
      <c r="O105" s="42"/>
      <c r="P105" s="42"/>
    </row>
    <row r="106" spans="1:16" s="11" customFormat="1" x14ac:dyDescent="0.25">
      <c r="A106" s="6"/>
      <c r="B106" s="7"/>
      <c r="C106" s="40"/>
      <c r="D106" s="58"/>
      <c r="E106" s="40"/>
      <c r="F106" s="40"/>
      <c r="G106" s="40"/>
      <c r="H106" s="40"/>
      <c r="I106" s="40"/>
      <c r="J106" s="40"/>
      <c r="K106" s="40"/>
      <c r="L106" s="42"/>
      <c r="M106" s="42"/>
      <c r="N106" s="42"/>
      <c r="O106" s="42"/>
      <c r="P106" s="42"/>
    </row>
    <row r="107" spans="1:16" s="11" customFormat="1" x14ac:dyDescent="0.25">
      <c r="A107" s="6"/>
      <c r="B107" s="7"/>
      <c r="C107" s="40"/>
      <c r="D107" s="58"/>
      <c r="E107" s="40"/>
      <c r="F107" s="40"/>
      <c r="G107" s="40"/>
      <c r="H107" s="40"/>
      <c r="I107" s="40"/>
      <c r="J107" s="40"/>
      <c r="K107" s="40"/>
      <c r="L107" s="42"/>
      <c r="M107" s="42"/>
      <c r="N107" s="42"/>
      <c r="O107" s="42"/>
      <c r="P107" s="42"/>
    </row>
    <row r="108" spans="1:16" s="11" customFormat="1" x14ac:dyDescent="0.25">
      <c r="A108" s="6"/>
      <c r="B108" s="7"/>
      <c r="C108" s="40"/>
      <c r="D108" s="58"/>
      <c r="E108" s="40"/>
      <c r="F108" s="40"/>
      <c r="G108" s="40"/>
      <c r="H108" s="40"/>
      <c r="I108" s="40"/>
      <c r="J108" s="40"/>
      <c r="K108" s="40"/>
      <c r="L108" s="42"/>
      <c r="M108" s="42"/>
      <c r="N108" s="42"/>
      <c r="O108" s="42"/>
      <c r="P108" s="42"/>
    </row>
    <row r="109" spans="1:16" s="11" customFormat="1" x14ac:dyDescent="0.25">
      <c r="A109" s="6"/>
      <c r="B109" s="7"/>
      <c r="C109" s="40"/>
      <c r="D109" s="58"/>
      <c r="E109" s="40"/>
      <c r="F109" s="40"/>
      <c r="G109" s="40"/>
      <c r="H109" s="40"/>
      <c r="I109" s="40"/>
      <c r="J109" s="40"/>
      <c r="K109" s="40"/>
      <c r="L109" s="42"/>
      <c r="M109" s="42"/>
      <c r="N109" s="42"/>
      <c r="O109" s="42"/>
      <c r="P109" s="42"/>
    </row>
    <row r="110" spans="1:16" s="11" customFormat="1" x14ac:dyDescent="0.25">
      <c r="A110" s="6"/>
      <c r="B110" s="7"/>
      <c r="C110" s="40"/>
      <c r="D110" s="58"/>
      <c r="E110" s="40"/>
      <c r="F110" s="40"/>
      <c r="G110" s="40"/>
      <c r="H110" s="40"/>
      <c r="I110" s="40"/>
      <c r="J110" s="40"/>
      <c r="K110" s="40"/>
      <c r="L110" s="42"/>
      <c r="M110" s="42"/>
      <c r="N110" s="42"/>
      <c r="O110" s="42"/>
      <c r="P110" s="42"/>
    </row>
    <row r="111" spans="1:16" s="11" customFormat="1" x14ac:dyDescent="0.25">
      <c r="A111" s="6"/>
      <c r="B111" s="7"/>
      <c r="C111" s="40"/>
      <c r="D111" s="58"/>
      <c r="E111" s="40"/>
      <c r="F111" s="40"/>
      <c r="G111" s="40"/>
      <c r="H111" s="40"/>
      <c r="I111" s="40"/>
      <c r="J111" s="40"/>
      <c r="K111" s="40"/>
      <c r="L111" s="42"/>
      <c r="M111" s="42"/>
      <c r="N111" s="42"/>
      <c r="O111" s="42"/>
      <c r="P111" s="42"/>
    </row>
    <row r="112" spans="1:16" s="11" customFormat="1" x14ac:dyDescent="0.25">
      <c r="A112" s="6"/>
      <c r="B112" s="7"/>
      <c r="C112" s="40"/>
      <c r="D112" s="58"/>
      <c r="E112" s="40"/>
      <c r="F112" s="40"/>
      <c r="G112" s="40"/>
      <c r="H112" s="40"/>
      <c r="I112" s="40"/>
      <c r="J112" s="40"/>
      <c r="K112" s="40"/>
      <c r="L112" s="42"/>
      <c r="M112" s="42"/>
      <c r="N112" s="42"/>
      <c r="O112" s="42"/>
      <c r="P112" s="42"/>
    </row>
    <row r="113" spans="1:16" s="11" customFormat="1" x14ac:dyDescent="0.25">
      <c r="A113" s="6"/>
      <c r="B113" s="7"/>
      <c r="C113" s="40"/>
      <c r="D113" s="58"/>
      <c r="E113" s="40"/>
      <c r="F113" s="40"/>
      <c r="G113" s="40"/>
      <c r="H113" s="40"/>
      <c r="I113" s="40"/>
      <c r="J113" s="40"/>
      <c r="K113" s="40"/>
      <c r="L113" s="42"/>
      <c r="M113" s="42"/>
      <c r="N113" s="42"/>
      <c r="O113" s="42"/>
      <c r="P113" s="42"/>
    </row>
    <row r="114" spans="1:16" s="11" customFormat="1" x14ac:dyDescent="0.25">
      <c r="A114" s="6"/>
      <c r="B114" s="7"/>
      <c r="C114" s="40"/>
      <c r="D114" s="58"/>
      <c r="E114" s="40"/>
      <c r="F114" s="40"/>
      <c r="G114" s="40"/>
      <c r="H114" s="40"/>
      <c r="I114" s="40"/>
      <c r="J114" s="40"/>
      <c r="K114" s="40"/>
      <c r="L114" s="42"/>
      <c r="M114" s="42"/>
      <c r="N114" s="42"/>
      <c r="O114" s="42"/>
      <c r="P114" s="42"/>
    </row>
    <row r="115" spans="1:16" s="11" customFormat="1" x14ac:dyDescent="0.25">
      <c r="A115" s="6"/>
      <c r="B115" s="7"/>
      <c r="C115" s="40"/>
      <c r="D115" s="58"/>
      <c r="E115" s="40"/>
      <c r="F115" s="40"/>
      <c r="G115" s="40"/>
      <c r="H115" s="40"/>
      <c r="I115" s="40"/>
      <c r="J115" s="40"/>
      <c r="K115" s="40"/>
      <c r="L115" s="42"/>
      <c r="M115" s="42"/>
      <c r="N115" s="42"/>
      <c r="O115" s="42"/>
      <c r="P115" s="42"/>
    </row>
    <row r="116" spans="1:16" s="11" customFormat="1" x14ac:dyDescent="0.25">
      <c r="A116" s="6"/>
      <c r="B116" s="7"/>
      <c r="C116" s="40"/>
      <c r="D116" s="58"/>
      <c r="E116" s="40"/>
      <c r="F116" s="40"/>
      <c r="G116" s="40"/>
      <c r="H116" s="40"/>
      <c r="I116" s="40"/>
      <c r="J116" s="40"/>
      <c r="K116" s="40"/>
      <c r="L116" s="42"/>
      <c r="M116" s="42"/>
      <c r="N116" s="42"/>
      <c r="O116" s="42"/>
      <c r="P116" s="42"/>
    </row>
    <row r="117" spans="1:16" s="11" customFormat="1" x14ac:dyDescent="0.25">
      <c r="A117" s="6"/>
      <c r="B117" s="7"/>
      <c r="C117" s="40"/>
      <c r="D117" s="58"/>
      <c r="E117" s="40"/>
      <c r="F117" s="40"/>
      <c r="G117" s="40"/>
      <c r="H117" s="40"/>
      <c r="I117" s="40"/>
      <c r="J117" s="40"/>
      <c r="K117" s="40"/>
      <c r="L117" s="42"/>
      <c r="M117" s="42"/>
      <c r="N117" s="42"/>
      <c r="O117" s="42"/>
      <c r="P117" s="42"/>
    </row>
    <row r="118" spans="1:16" s="11" customFormat="1" x14ac:dyDescent="0.25">
      <c r="A118" s="6"/>
      <c r="B118" s="7"/>
      <c r="C118" s="40"/>
      <c r="D118" s="58"/>
      <c r="E118" s="40"/>
      <c r="F118" s="40"/>
      <c r="G118" s="40"/>
      <c r="H118" s="40"/>
      <c r="I118" s="40"/>
      <c r="J118" s="40"/>
      <c r="K118" s="40"/>
      <c r="L118" s="42"/>
      <c r="M118" s="42"/>
      <c r="N118" s="42"/>
      <c r="O118" s="42"/>
      <c r="P118" s="42"/>
    </row>
    <row r="119" spans="1:16" s="11" customFormat="1" x14ac:dyDescent="0.25">
      <c r="A119" s="6"/>
      <c r="B119" s="7"/>
      <c r="C119" s="40"/>
      <c r="D119" s="58"/>
      <c r="E119" s="40"/>
      <c r="F119" s="40"/>
      <c r="G119" s="40"/>
      <c r="H119" s="40"/>
      <c r="I119" s="40"/>
      <c r="J119" s="40"/>
      <c r="K119" s="40"/>
      <c r="L119" s="42"/>
      <c r="M119" s="42"/>
      <c r="N119" s="42"/>
      <c r="O119" s="42"/>
      <c r="P119" s="42"/>
    </row>
    <row r="120" spans="1:16" s="11" customFormat="1" x14ac:dyDescent="0.25">
      <c r="A120" s="6"/>
      <c r="B120" s="7"/>
      <c r="C120" s="40"/>
      <c r="D120" s="58"/>
      <c r="E120" s="40"/>
      <c r="F120" s="40"/>
      <c r="G120" s="40"/>
      <c r="H120" s="40"/>
      <c r="I120" s="40"/>
      <c r="J120" s="40"/>
      <c r="K120" s="40"/>
      <c r="L120" s="42"/>
      <c r="M120" s="42"/>
      <c r="N120" s="42"/>
      <c r="O120" s="42"/>
      <c r="P120" s="42"/>
    </row>
    <row r="121" spans="1:16" s="11" customFormat="1" x14ac:dyDescent="0.25">
      <c r="A121" s="6"/>
      <c r="B121" s="7"/>
      <c r="C121" s="40"/>
      <c r="D121" s="58"/>
      <c r="E121" s="40"/>
      <c r="F121" s="40"/>
      <c r="G121" s="40"/>
      <c r="H121" s="40"/>
      <c r="I121" s="40"/>
      <c r="J121" s="40"/>
      <c r="K121" s="40"/>
      <c r="L121" s="42"/>
      <c r="M121" s="42"/>
      <c r="N121" s="42"/>
      <c r="O121" s="42"/>
      <c r="P121" s="42"/>
    </row>
  </sheetData>
  <mergeCells count="25">
    <mergeCell ref="A88:G88"/>
    <mergeCell ref="B1:P1"/>
    <mergeCell ref="G4:H4"/>
    <mergeCell ref="I4:J4"/>
    <mergeCell ref="A58:B58"/>
    <mergeCell ref="A64:B64"/>
    <mergeCell ref="L2:O2"/>
    <mergeCell ref="P2:P7"/>
    <mergeCell ref="L3:L7"/>
    <mergeCell ref="M3:M7"/>
    <mergeCell ref="N3:N7"/>
    <mergeCell ref="O3:O7"/>
    <mergeCell ref="A71:G71"/>
    <mergeCell ref="C6:J6"/>
    <mergeCell ref="C5:H5"/>
    <mergeCell ref="E4:F4"/>
    <mergeCell ref="A2:A8"/>
    <mergeCell ref="B2:K2"/>
    <mergeCell ref="B3:B7"/>
    <mergeCell ref="C3:D3"/>
    <mergeCell ref="E3:F3"/>
    <mergeCell ref="G3:H3"/>
    <mergeCell ref="I3:J3"/>
    <mergeCell ref="K3:K7"/>
    <mergeCell ref="C4:D4"/>
  </mergeCells>
  <printOptions horizontalCentered="1"/>
  <pageMargins left="0.11811023622047245" right="0.11811023622047245" top="0.15748031496062992" bottom="0.15748031496062992" header="0" footer="0"/>
  <pageSetup paperSize="9" scale="89" orientation="landscape" r:id="rId1"/>
  <rowBreaks count="3" manualBreakCount="3">
    <brk id="21" max="15" man="1"/>
    <brk id="40" max="15" man="1"/>
    <brk id="70" max="15" man="1"/>
  </rowBreaks>
  <colBreaks count="2" manualBreakCount="2">
    <brk id="1" max="90" man="1"/>
    <brk id="1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146"/>
  <sheetViews>
    <sheetView workbookViewId="0">
      <selection activeCell="P118" sqref="P118"/>
    </sheetView>
  </sheetViews>
  <sheetFormatPr defaultRowHeight="12" x14ac:dyDescent="0.25"/>
  <cols>
    <col min="1" max="1" width="5.5703125" style="21" customWidth="1"/>
    <col min="2" max="2" width="17.28515625" style="7" customWidth="1"/>
    <col min="3" max="3" width="9.5703125" style="8" hidden="1" customWidth="1"/>
    <col min="4" max="4" width="10.140625" style="9" hidden="1" customWidth="1"/>
    <col min="5" max="5" width="9.28515625" style="8" hidden="1" customWidth="1"/>
    <col min="6" max="6" width="9.7109375" style="8" hidden="1" customWidth="1"/>
    <col min="7" max="7" width="8.28515625" style="8" hidden="1" customWidth="1"/>
    <col min="8" max="8" width="10.28515625" style="8" hidden="1" customWidth="1"/>
    <col min="9" max="9" width="8.85546875" style="8" hidden="1" customWidth="1"/>
    <col min="10" max="10" width="9.85546875" style="8" hidden="1" customWidth="1"/>
    <col min="11" max="11" width="12.28515625" style="40" customWidth="1"/>
    <col min="12" max="14" width="11.7109375" style="497" hidden="1" customWidth="1"/>
    <col min="15" max="15" width="11.7109375" style="497" customWidth="1"/>
    <col min="16" max="16" width="13.140625" style="498" customWidth="1"/>
    <col min="17" max="16384" width="9.140625" style="12"/>
  </cols>
  <sheetData>
    <row r="1" spans="1:16" s="11" customFormat="1" ht="18.75" customHeight="1" x14ac:dyDescent="0.25">
      <c r="A1" s="351"/>
      <c r="B1" s="638" t="s">
        <v>116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</row>
    <row r="2" spans="1:16" ht="35.25" customHeight="1" x14ac:dyDescent="0.25">
      <c r="A2" s="493" t="s">
        <v>12</v>
      </c>
      <c r="B2" s="494" t="s">
        <v>7</v>
      </c>
      <c r="C2" s="509"/>
      <c r="D2" s="509"/>
      <c r="E2" s="509"/>
      <c r="F2" s="509"/>
      <c r="G2" s="509"/>
      <c r="H2" s="509"/>
      <c r="I2" s="509"/>
      <c r="J2" s="509"/>
      <c r="K2" s="494" t="s">
        <v>785</v>
      </c>
      <c r="L2" s="616" t="s">
        <v>786</v>
      </c>
      <c r="M2" s="617"/>
      <c r="N2" s="617"/>
      <c r="O2" s="618"/>
      <c r="P2" s="496" t="s">
        <v>784</v>
      </c>
    </row>
    <row r="3" spans="1:16" ht="12" hidden="1" customHeight="1" x14ac:dyDescent="0.25">
      <c r="A3" s="488"/>
      <c r="C3" s="504" t="s">
        <v>9</v>
      </c>
      <c r="D3" s="505"/>
      <c r="E3" s="506" t="s">
        <v>10</v>
      </c>
      <c r="F3" s="507"/>
      <c r="G3" s="506" t="s">
        <v>11</v>
      </c>
      <c r="H3" s="507"/>
      <c r="I3" s="506" t="s">
        <v>58</v>
      </c>
      <c r="J3" s="507"/>
      <c r="L3" s="609" t="s">
        <v>70</v>
      </c>
      <c r="M3" s="609" t="s">
        <v>71</v>
      </c>
      <c r="N3" s="609" t="s">
        <v>72</v>
      </c>
      <c r="O3" s="495" t="s">
        <v>73</v>
      </c>
      <c r="P3" s="485"/>
    </row>
    <row r="4" spans="1:16" ht="12" hidden="1" customHeight="1" x14ac:dyDescent="0.25">
      <c r="A4" s="488"/>
      <c r="B4" s="491"/>
      <c r="C4" s="504">
        <v>6414.1</v>
      </c>
      <c r="D4" s="505"/>
      <c r="E4" s="506">
        <v>6387.7</v>
      </c>
      <c r="F4" s="507"/>
      <c r="G4" s="506">
        <v>6497.32</v>
      </c>
      <c r="H4" s="507"/>
      <c r="I4" s="506">
        <v>24004.01</v>
      </c>
      <c r="J4" s="507"/>
      <c r="K4" s="479"/>
      <c r="L4" s="610"/>
      <c r="M4" s="610"/>
      <c r="N4" s="610"/>
      <c r="O4" s="481"/>
      <c r="P4" s="485"/>
    </row>
    <row r="5" spans="1:16" ht="12" hidden="1" customHeight="1" x14ac:dyDescent="0.25">
      <c r="A5" s="488"/>
      <c r="B5" s="491"/>
      <c r="C5" s="504">
        <f>C4+E4+G4</f>
        <v>19299.12</v>
      </c>
      <c r="D5" s="508"/>
      <c r="E5" s="508"/>
      <c r="F5" s="508"/>
      <c r="G5" s="508"/>
      <c r="H5" s="505"/>
      <c r="I5" s="78"/>
      <c r="J5" s="477"/>
      <c r="K5" s="479"/>
      <c r="L5" s="610"/>
      <c r="M5" s="610"/>
      <c r="N5" s="610"/>
      <c r="O5" s="481"/>
      <c r="P5" s="485"/>
    </row>
    <row r="6" spans="1:16" ht="12" hidden="1" customHeight="1" x14ac:dyDescent="0.25">
      <c r="A6" s="488"/>
      <c r="B6" s="491"/>
      <c r="C6" s="504">
        <f>C4+E4+G4+I4</f>
        <v>43303.13</v>
      </c>
      <c r="D6" s="508"/>
      <c r="E6" s="508"/>
      <c r="F6" s="508"/>
      <c r="G6" s="508"/>
      <c r="H6" s="508"/>
      <c r="I6" s="508"/>
      <c r="J6" s="505"/>
      <c r="K6" s="479"/>
      <c r="L6" s="610"/>
      <c r="M6" s="610"/>
      <c r="N6" s="610"/>
      <c r="O6" s="481"/>
      <c r="P6" s="485"/>
    </row>
    <row r="7" spans="1:16" ht="38.25" hidden="1" x14ac:dyDescent="0.25">
      <c r="A7" s="488"/>
      <c r="B7" s="492"/>
      <c r="C7" s="13" t="s">
        <v>68</v>
      </c>
      <c r="D7" s="14" t="s">
        <v>8</v>
      </c>
      <c r="E7" s="13" t="s">
        <v>68</v>
      </c>
      <c r="F7" s="14" t="s">
        <v>8</v>
      </c>
      <c r="G7" s="13" t="s">
        <v>68</v>
      </c>
      <c r="H7" s="14" t="s">
        <v>8</v>
      </c>
      <c r="I7" s="13" t="s">
        <v>68</v>
      </c>
      <c r="J7" s="14" t="s">
        <v>8</v>
      </c>
      <c r="K7" s="480"/>
      <c r="L7" s="611"/>
      <c r="M7" s="611"/>
      <c r="N7" s="611"/>
      <c r="O7" s="482"/>
      <c r="P7" s="486"/>
    </row>
    <row r="8" spans="1:16" hidden="1" x14ac:dyDescent="0.25">
      <c r="A8" s="489"/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5">
        <v>10</v>
      </c>
      <c r="L8" s="15">
        <v>11</v>
      </c>
      <c r="M8" s="54">
        <v>12</v>
      </c>
      <c r="N8" s="54">
        <v>13</v>
      </c>
      <c r="O8" s="54">
        <v>14</v>
      </c>
      <c r="P8" s="26" t="s">
        <v>69</v>
      </c>
    </row>
    <row r="9" spans="1:16" s="20" customFormat="1" ht="34.5" customHeight="1" x14ac:dyDescent="0.25">
      <c r="A9" s="349" t="s">
        <v>13</v>
      </c>
      <c r="B9" s="17" t="s">
        <v>0</v>
      </c>
      <c r="C9" s="1">
        <f t="shared" ref="C9:H9" si="0">SUM(C10:C12)</f>
        <v>0.45999999999999996</v>
      </c>
      <c r="D9" s="18">
        <f t="shared" si="0"/>
        <v>35405.831999999995</v>
      </c>
      <c r="E9" s="18">
        <f t="shared" si="0"/>
        <v>0.45999999999999996</v>
      </c>
      <c r="F9" s="18">
        <f t="shared" si="0"/>
        <v>35260.103999999999</v>
      </c>
      <c r="G9" s="1">
        <f t="shared" si="0"/>
        <v>0.45999999999999996</v>
      </c>
      <c r="H9" s="18">
        <f t="shared" si="0"/>
        <v>35865.206399999995</v>
      </c>
      <c r="I9" s="1"/>
      <c r="J9" s="18"/>
      <c r="K9" s="51">
        <f>D9+F9+H9+J9</f>
        <v>106531.14239999998</v>
      </c>
      <c r="L9" s="51">
        <f>SUM(L10:L12)</f>
        <v>116100</v>
      </c>
      <c r="M9" s="51">
        <f t="shared" ref="M9:N9" si="1">SUM(M10:M12)</f>
        <v>5923.25</v>
      </c>
      <c r="N9" s="51">
        <f t="shared" si="1"/>
        <v>3119.7246018936739</v>
      </c>
      <c r="O9" s="51">
        <f>L9+M9+N9</f>
        <v>125142.97460189367</v>
      </c>
      <c r="P9" s="478">
        <f>SUM(P10:P12)</f>
        <v>-18611.832201893681</v>
      </c>
    </row>
    <row r="10" spans="1:16" ht="37.5" customHeight="1" x14ac:dyDescent="0.25">
      <c r="A10" s="21" t="s">
        <v>45</v>
      </c>
      <c r="B10" s="22" t="s">
        <v>34</v>
      </c>
      <c r="C10" s="23">
        <v>0.03</v>
      </c>
      <c r="D10" s="5">
        <f>C10*12*$C$4</f>
        <v>2309.076</v>
      </c>
      <c r="E10" s="5">
        <v>0.02</v>
      </c>
      <c r="F10" s="5">
        <f>E10*12*$E$4</f>
        <v>1533.048</v>
      </c>
      <c r="G10" s="5">
        <v>0.02</v>
      </c>
      <c r="H10" s="5">
        <f>G10*12*$G$4</f>
        <v>1559.3567999999998</v>
      </c>
      <c r="I10" s="5"/>
      <c r="J10" s="5"/>
      <c r="K10" s="103">
        <f>D10+F10+H10+J10</f>
        <v>5401.4807999999994</v>
      </c>
      <c r="L10" s="103"/>
      <c r="M10" s="103">
        <v>5228</v>
      </c>
      <c r="N10" s="103"/>
      <c r="O10" s="103">
        <f>L10+M10+N10</f>
        <v>5228</v>
      </c>
      <c r="P10" s="499">
        <f t="shared" ref="P10:P66" si="2">K10-O10</f>
        <v>173.48079999999936</v>
      </c>
    </row>
    <row r="11" spans="1:16" ht="36" customHeight="1" x14ac:dyDescent="0.25">
      <c r="A11" s="21" t="s">
        <v>19</v>
      </c>
      <c r="B11" s="22" t="s">
        <v>35</v>
      </c>
      <c r="C11" s="23">
        <v>0.08</v>
      </c>
      <c r="D11" s="5">
        <f t="shared" ref="D11:D12" si="3">C11*12*$C$4</f>
        <v>6157.5360000000001</v>
      </c>
      <c r="E11" s="23">
        <v>0.08</v>
      </c>
      <c r="F11" s="5">
        <f>E11*12*$E$4</f>
        <v>6132.192</v>
      </c>
      <c r="G11" s="23">
        <v>0.08</v>
      </c>
      <c r="H11" s="5">
        <f>G11*12*$G$4</f>
        <v>6237.4271999999992</v>
      </c>
      <c r="I11" s="5"/>
      <c r="J11" s="5"/>
      <c r="K11" s="103">
        <f>D11+F11+H11+J11</f>
        <v>18527.155199999997</v>
      </c>
      <c r="M11" s="103">
        <v>695.25</v>
      </c>
      <c r="N11" s="103">
        <f>7000/C6*C5</f>
        <v>3119.7246018936739</v>
      </c>
      <c r="O11" s="103">
        <f>L11+M11+N11</f>
        <v>3814.9746018936739</v>
      </c>
      <c r="P11" s="499">
        <f t="shared" si="2"/>
        <v>14712.180598106323</v>
      </c>
    </row>
    <row r="12" spans="1:16" ht="28.5" customHeight="1" x14ac:dyDescent="0.25">
      <c r="A12" s="21" t="s">
        <v>39</v>
      </c>
      <c r="B12" s="22" t="s">
        <v>20</v>
      </c>
      <c r="C12" s="23">
        <v>0.35</v>
      </c>
      <c r="D12" s="5">
        <f t="shared" si="3"/>
        <v>26939.219999999998</v>
      </c>
      <c r="E12" s="5">
        <v>0.36</v>
      </c>
      <c r="F12" s="5">
        <f>E12*12*$E$4</f>
        <v>27594.864000000001</v>
      </c>
      <c r="G12" s="5">
        <v>0.36</v>
      </c>
      <c r="H12" s="5">
        <f>G12*12*$G$4</f>
        <v>28068.422399999999</v>
      </c>
      <c r="I12" s="5"/>
      <c r="J12" s="5"/>
      <c r="K12" s="103">
        <f>D12+F12+H12+J12</f>
        <v>82602.506399999998</v>
      </c>
      <c r="L12" s="103">
        <f>183860-67760</f>
        <v>116100</v>
      </c>
      <c r="M12" s="103"/>
      <c r="N12" s="103"/>
      <c r="O12" s="103">
        <f>L12+M12+N12</f>
        <v>116100</v>
      </c>
      <c r="P12" s="499">
        <f t="shared" si="2"/>
        <v>-33497.493600000002</v>
      </c>
    </row>
    <row r="13" spans="1:16" s="20" customFormat="1" ht="23.25" customHeight="1" x14ac:dyDescent="0.25">
      <c r="A13" s="349" t="s">
        <v>14</v>
      </c>
      <c r="B13" s="17" t="s">
        <v>1</v>
      </c>
      <c r="C13" s="1">
        <f>SUM(C14:C19)</f>
        <v>0.59000000000000008</v>
      </c>
      <c r="D13" s="18">
        <f>SUM(D14:D21)</f>
        <v>45411.828000000001</v>
      </c>
      <c r="E13" s="18">
        <f>SUM(E14:E19)</f>
        <v>0.59000000000000008</v>
      </c>
      <c r="F13" s="18">
        <f>SUM(F14:F21)</f>
        <v>45224.916000000005</v>
      </c>
      <c r="G13" s="18">
        <f>SUM(G14:G19)</f>
        <v>0.59000000000000008</v>
      </c>
      <c r="H13" s="18">
        <f>SUM(H14:H21)</f>
        <v>46001.025599999994</v>
      </c>
      <c r="I13" s="18"/>
      <c r="J13" s="18"/>
      <c r="K13" s="51">
        <f t="shared" ref="K13:P13" si="4">SUM(K14:K21)</f>
        <v>136637.7696</v>
      </c>
      <c r="L13" s="51">
        <f t="shared" si="4"/>
        <v>226945</v>
      </c>
      <c r="M13" s="51">
        <f t="shared" si="4"/>
        <v>88806.299999999988</v>
      </c>
      <c r="N13" s="51">
        <f t="shared" si="4"/>
        <v>13934.13</v>
      </c>
      <c r="O13" s="51">
        <f t="shared" si="4"/>
        <v>329685.43</v>
      </c>
      <c r="P13" s="478">
        <f t="shared" si="4"/>
        <v>-193047.66039999999</v>
      </c>
    </row>
    <row r="14" spans="1:16" ht="33.75" customHeight="1" x14ac:dyDescent="0.25">
      <c r="A14" s="21" t="s">
        <v>46</v>
      </c>
      <c r="B14" s="25" t="s">
        <v>42</v>
      </c>
      <c r="C14" s="2">
        <v>0.03</v>
      </c>
      <c r="D14" s="5">
        <f t="shared" ref="D14:D19" si="5">C14*12*$C$4</f>
        <v>2309.076</v>
      </c>
      <c r="E14" s="5">
        <v>0.03</v>
      </c>
      <c r="F14" s="5">
        <f>E14*12*$E$4</f>
        <v>2299.5719999999997</v>
      </c>
      <c r="G14" s="5">
        <v>0.03</v>
      </c>
      <c r="H14" s="5">
        <f>G14*12*$G$4</f>
        <v>2339.0351999999998</v>
      </c>
      <c r="I14" s="5"/>
      <c r="J14" s="5"/>
      <c r="K14" s="103">
        <f t="shared" ref="K14:K19" si="6">D14+F14+H14+J14</f>
        <v>6947.6831999999995</v>
      </c>
      <c r="L14" s="103">
        <f>'Затраты 88, 90, 92'!L8</f>
        <v>2790</v>
      </c>
      <c r="M14" s="103">
        <f>'Затраты 88, 90, 92'!L7</f>
        <v>8614.86</v>
      </c>
      <c r="N14" s="103"/>
      <c r="O14" s="103">
        <f t="shared" ref="O14:O44" si="7">L14+M14+N14</f>
        <v>11404.86</v>
      </c>
      <c r="P14" s="499">
        <f t="shared" si="2"/>
        <v>-4457.1768000000011</v>
      </c>
    </row>
    <row r="15" spans="1:16" ht="33.75" customHeight="1" x14ac:dyDescent="0.25">
      <c r="A15" s="21" t="s">
        <v>47</v>
      </c>
      <c r="B15" s="25" t="s">
        <v>43</v>
      </c>
      <c r="C15" s="2">
        <v>0.05</v>
      </c>
      <c r="D15" s="5">
        <f t="shared" si="5"/>
        <v>3848.4600000000009</v>
      </c>
      <c r="E15" s="5">
        <v>0.05</v>
      </c>
      <c r="F15" s="5">
        <f t="shared" ref="F15:F19" si="8">E15*12*$E$4</f>
        <v>3832.6200000000003</v>
      </c>
      <c r="G15" s="5">
        <v>0.05</v>
      </c>
      <c r="H15" s="5">
        <f t="shared" ref="H15:H19" si="9">G15*12*$G$4</f>
        <v>3898.3920000000003</v>
      </c>
      <c r="I15" s="5"/>
      <c r="J15" s="5"/>
      <c r="K15" s="103">
        <f t="shared" si="6"/>
        <v>11579.472000000002</v>
      </c>
      <c r="L15" s="103">
        <f>'Затраты 88, 90, 92'!L50</f>
        <v>17250</v>
      </c>
      <c r="M15" s="103"/>
      <c r="N15" s="103"/>
      <c r="O15" s="103">
        <f t="shared" si="7"/>
        <v>17250</v>
      </c>
      <c r="P15" s="499">
        <f t="shared" si="2"/>
        <v>-5670.5279999999984</v>
      </c>
    </row>
    <row r="16" spans="1:16" ht="33.75" customHeight="1" x14ac:dyDescent="0.25">
      <c r="A16" s="21" t="s">
        <v>48</v>
      </c>
      <c r="B16" s="25" t="s">
        <v>24</v>
      </c>
      <c r="C16" s="2">
        <v>0.04</v>
      </c>
      <c r="D16" s="5">
        <f t="shared" si="5"/>
        <v>3078.768</v>
      </c>
      <c r="E16" s="5">
        <v>0.04</v>
      </c>
      <c r="F16" s="5">
        <f t="shared" si="8"/>
        <v>3066.096</v>
      </c>
      <c r="G16" s="5">
        <v>0.04</v>
      </c>
      <c r="H16" s="5">
        <f t="shared" si="9"/>
        <v>3118.7135999999996</v>
      </c>
      <c r="I16" s="5"/>
      <c r="J16" s="5"/>
      <c r="K16" s="103">
        <f t="shared" si="6"/>
        <v>9263.5775999999987</v>
      </c>
      <c r="M16" s="103">
        <f>'Затраты 88, 90, 92'!L9</f>
        <v>17336.8</v>
      </c>
      <c r="N16" s="103">
        <f>'Затраты 88, 90, 92'!L49</f>
        <v>5500</v>
      </c>
      <c r="O16" s="103">
        <f>L16+M16+N16</f>
        <v>22836.799999999999</v>
      </c>
      <c r="P16" s="499">
        <f t="shared" si="2"/>
        <v>-13573.222400000001</v>
      </c>
    </row>
    <row r="17" spans="1:16" ht="33.75" customHeight="1" x14ac:dyDescent="0.25">
      <c r="A17" s="21" t="s">
        <v>49</v>
      </c>
      <c r="B17" s="25" t="s">
        <v>25</v>
      </c>
      <c r="C17" s="2">
        <v>0.33</v>
      </c>
      <c r="D17" s="5">
        <f t="shared" si="5"/>
        <v>25399.836000000003</v>
      </c>
      <c r="E17" s="5">
        <v>0.33</v>
      </c>
      <c r="F17" s="5">
        <f t="shared" si="8"/>
        <v>25295.291999999998</v>
      </c>
      <c r="G17" s="5">
        <v>0.33</v>
      </c>
      <c r="H17" s="5">
        <f t="shared" si="9"/>
        <v>25729.387199999997</v>
      </c>
      <c r="I17" s="5"/>
      <c r="J17" s="5"/>
      <c r="K17" s="103">
        <f t="shared" si="6"/>
        <v>76424.515199999994</v>
      </c>
      <c r="L17" s="103">
        <v>99301</v>
      </c>
      <c r="M17" s="103">
        <f>19716.15+1520</f>
        <v>21236.15</v>
      </c>
      <c r="N17" s="103"/>
      <c r="O17" s="103">
        <f t="shared" si="7"/>
        <v>120537.15</v>
      </c>
      <c r="P17" s="499">
        <f t="shared" si="2"/>
        <v>-44112.6348</v>
      </c>
    </row>
    <row r="18" spans="1:16" ht="33.75" customHeight="1" x14ac:dyDescent="0.25">
      <c r="A18" s="21" t="s">
        <v>50</v>
      </c>
      <c r="B18" s="25" t="s">
        <v>26</v>
      </c>
      <c r="C18" s="2">
        <v>0.08</v>
      </c>
      <c r="D18" s="5">
        <f t="shared" si="5"/>
        <v>6157.5360000000001</v>
      </c>
      <c r="E18" s="5">
        <v>0.08</v>
      </c>
      <c r="F18" s="5">
        <f t="shared" si="8"/>
        <v>6132.192</v>
      </c>
      <c r="G18" s="5">
        <v>0.08</v>
      </c>
      <c r="H18" s="5">
        <f t="shared" si="9"/>
        <v>6237.4271999999992</v>
      </c>
      <c r="I18" s="5"/>
      <c r="J18" s="5"/>
      <c r="K18" s="103">
        <f t="shared" si="6"/>
        <v>18527.155199999997</v>
      </c>
      <c r="L18" s="103">
        <v>27038</v>
      </c>
      <c r="M18" s="103">
        <v>41618.49</v>
      </c>
      <c r="N18" s="103">
        <v>8434.1299999999992</v>
      </c>
      <c r="O18" s="103">
        <f t="shared" si="7"/>
        <v>77090.62</v>
      </c>
      <c r="P18" s="499">
        <f t="shared" si="2"/>
        <v>-58563.464800000002</v>
      </c>
    </row>
    <row r="19" spans="1:16" ht="33.75" customHeight="1" x14ac:dyDescent="0.25">
      <c r="A19" s="21" t="s">
        <v>51</v>
      </c>
      <c r="B19" s="25" t="s">
        <v>27</v>
      </c>
      <c r="C19" s="2">
        <v>0.06</v>
      </c>
      <c r="D19" s="5">
        <f t="shared" si="5"/>
        <v>4618.152</v>
      </c>
      <c r="E19" s="5">
        <v>0.06</v>
      </c>
      <c r="F19" s="5">
        <f t="shared" si="8"/>
        <v>4599.1439999999993</v>
      </c>
      <c r="G19" s="5">
        <v>0.06</v>
      </c>
      <c r="H19" s="5">
        <f t="shared" si="9"/>
        <v>4678.0703999999996</v>
      </c>
      <c r="I19" s="5"/>
      <c r="J19" s="5"/>
      <c r="K19" s="103">
        <f t="shared" si="6"/>
        <v>13895.366399999999</v>
      </c>
      <c r="L19" s="103">
        <f>13895.37+48670.63</f>
        <v>62566</v>
      </c>
      <c r="M19" s="103"/>
      <c r="N19" s="103"/>
      <c r="O19" s="103">
        <f t="shared" si="7"/>
        <v>62566</v>
      </c>
      <c r="P19" s="499">
        <f t="shared" si="2"/>
        <v>-48670.633600000001</v>
      </c>
    </row>
    <row r="20" spans="1:16" ht="33.75" customHeight="1" x14ac:dyDescent="0.25">
      <c r="A20" s="21" t="s">
        <v>65</v>
      </c>
      <c r="B20" s="25" t="s">
        <v>75</v>
      </c>
      <c r="C20" s="2"/>
      <c r="D20" s="5"/>
      <c r="E20" s="5"/>
      <c r="F20" s="5"/>
      <c r="G20" s="5"/>
      <c r="H20" s="5"/>
      <c r="I20" s="5"/>
      <c r="J20" s="5"/>
      <c r="K20" s="103"/>
      <c r="L20" s="103">
        <f>'Затраты 88, 90, 92'!L52</f>
        <v>18000</v>
      </c>
      <c r="M20" s="103"/>
      <c r="N20" s="103"/>
      <c r="O20" s="103">
        <f t="shared" si="7"/>
        <v>18000</v>
      </c>
      <c r="P20" s="499">
        <f t="shared" si="2"/>
        <v>-18000</v>
      </c>
    </row>
    <row r="21" spans="1:16" ht="33.75" hidden="1" customHeight="1" x14ac:dyDescent="0.25">
      <c r="A21" s="21" t="s">
        <v>74</v>
      </c>
      <c r="B21" s="25" t="s">
        <v>80</v>
      </c>
      <c r="C21" s="2"/>
      <c r="D21" s="5"/>
      <c r="E21" s="5"/>
      <c r="F21" s="5"/>
      <c r="G21" s="5"/>
      <c r="H21" s="5"/>
      <c r="I21" s="5"/>
      <c r="J21" s="5"/>
      <c r="K21" s="103"/>
      <c r="M21" s="103"/>
      <c r="N21" s="103"/>
      <c r="O21" s="103">
        <f t="shared" si="7"/>
        <v>0</v>
      </c>
      <c r="P21" s="499">
        <f t="shared" si="2"/>
        <v>0</v>
      </c>
    </row>
    <row r="22" spans="1:16" s="20" customFormat="1" ht="24" customHeight="1" x14ac:dyDescent="0.25">
      <c r="A22" s="349" t="s">
        <v>15</v>
      </c>
      <c r="B22" s="17" t="s">
        <v>2</v>
      </c>
      <c r="C22" s="1">
        <f>D22/C4/12</f>
        <v>12.596972451318189</v>
      </c>
      <c r="D22" s="18">
        <f>SUM(D23:D32)</f>
        <v>969578.89200000011</v>
      </c>
      <c r="E22" s="1">
        <f>F22/E4/12</f>
        <v>12.603844419744197</v>
      </c>
      <c r="F22" s="18">
        <f>SUM(F23:F32)</f>
        <v>966114.924</v>
      </c>
      <c r="G22" s="1">
        <f>H22/G4/12</f>
        <v>12.5989504595741</v>
      </c>
      <c r="H22" s="18">
        <f>SUM(H23:H32)</f>
        <v>982312.95359999989</v>
      </c>
      <c r="I22" s="1"/>
      <c r="J22" s="18"/>
      <c r="K22" s="51">
        <f>D22+F22+H22+J22</f>
        <v>2918006.7696000002</v>
      </c>
      <c r="L22" s="51">
        <f>SUM(L23:L32)</f>
        <v>2871270.0845170803</v>
      </c>
      <c r="M22" s="51">
        <f t="shared" ref="M22:N22" si="10">SUM(M23:M32)</f>
        <v>5295.0639992998194</v>
      </c>
      <c r="N22" s="51">
        <f t="shared" si="10"/>
        <v>13096.603878749644</v>
      </c>
      <c r="O22" s="51">
        <f t="shared" si="7"/>
        <v>2889661.7523951298</v>
      </c>
      <c r="P22" s="478">
        <f t="shared" si="2"/>
        <v>28345.01720487047</v>
      </c>
    </row>
    <row r="23" spans="1:16" ht="27.75" customHeight="1" x14ac:dyDescent="0.25">
      <c r="A23" s="21" t="s">
        <v>21</v>
      </c>
      <c r="B23" s="25" t="s">
        <v>44</v>
      </c>
      <c r="C23" s="2">
        <v>11.01</v>
      </c>
      <c r="D23" s="5">
        <f>C23*12*C4</f>
        <v>847430.89200000011</v>
      </c>
      <c r="E23" s="5">
        <v>11.01</v>
      </c>
      <c r="F23" s="5">
        <f>E23*12*E4</f>
        <v>843942.924</v>
      </c>
      <c r="G23" s="5">
        <v>11.04</v>
      </c>
      <c r="H23" s="5">
        <f>G23*12*G4</f>
        <v>860764.95359999989</v>
      </c>
      <c r="I23" s="5"/>
      <c r="J23" s="5"/>
      <c r="K23" s="103">
        <f t="shared" ref="K23:K29" si="11">D23+F23+H23+J23</f>
        <v>2552138.7696000002</v>
      </c>
      <c r="L23" s="103">
        <v>2552138.77</v>
      </c>
      <c r="M23" s="103"/>
      <c r="N23" s="103"/>
      <c r="O23" s="103">
        <f t="shared" si="7"/>
        <v>2552138.77</v>
      </c>
      <c r="P23" s="499">
        <f t="shared" si="2"/>
        <v>-3.9999978616833687E-4</v>
      </c>
    </row>
    <row r="24" spans="1:16" ht="27.75" customHeight="1" x14ac:dyDescent="0.25">
      <c r="A24" s="21" t="s">
        <v>22</v>
      </c>
      <c r="B24" s="22" t="s">
        <v>28</v>
      </c>
      <c r="C24" s="2">
        <v>1721</v>
      </c>
      <c r="D24" s="5">
        <f t="shared" ref="D24:D29" si="12">C24*12</f>
        <v>20652</v>
      </c>
      <c r="E24" s="3">
        <v>1722</v>
      </c>
      <c r="F24" s="5">
        <f t="shared" ref="F24:F29" si="13">E24*12</f>
        <v>20664</v>
      </c>
      <c r="G24" s="3">
        <v>1723</v>
      </c>
      <c r="H24" s="5">
        <f t="shared" ref="H24:H29" si="14">G24*12</f>
        <v>20676</v>
      </c>
      <c r="I24" s="5"/>
      <c r="J24" s="5"/>
      <c r="K24" s="103">
        <f t="shared" si="11"/>
        <v>61992</v>
      </c>
      <c r="L24" s="500">
        <f>37393/C6*C5</f>
        <v>16665.123148372877</v>
      </c>
      <c r="M24" s="501"/>
      <c r="N24" s="501"/>
      <c r="O24" s="103">
        <f t="shared" si="7"/>
        <v>16665.123148372877</v>
      </c>
      <c r="P24" s="499">
        <f t="shared" si="2"/>
        <v>45326.876851627123</v>
      </c>
    </row>
    <row r="25" spans="1:16" ht="27.75" customHeight="1" x14ac:dyDescent="0.25">
      <c r="A25" s="21" t="s">
        <v>23</v>
      </c>
      <c r="B25" s="22" t="s">
        <v>29</v>
      </c>
      <c r="C25" s="2">
        <v>1680</v>
      </c>
      <c r="D25" s="5">
        <f t="shared" si="12"/>
        <v>20160</v>
      </c>
      <c r="E25" s="3">
        <v>1681</v>
      </c>
      <c r="F25" s="5">
        <f t="shared" si="13"/>
        <v>20172</v>
      </c>
      <c r="G25" s="3">
        <v>1682</v>
      </c>
      <c r="H25" s="5">
        <f t="shared" si="14"/>
        <v>20184</v>
      </c>
      <c r="I25" s="5"/>
      <c r="J25" s="5"/>
      <c r="K25" s="103">
        <f t="shared" si="11"/>
        <v>60516</v>
      </c>
      <c r="L25" s="103">
        <f>130164/C6*C5</f>
        <v>58010.833297269732</v>
      </c>
      <c r="M25" s="103"/>
      <c r="N25" s="103"/>
      <c r="O25" s="103">
        <f t="shared" si="7"/>
        <v>58010.833297269732</v>
      </c>
      <c r="P25" s="499">
        <f t="shared" si="2"/>
        <v>2505.1667027302683</v>
      </c>
    </row>
    <row r="26" spans="1:16" ht="27.75" customHeight="1" x14ac:dyDescent="0.25">
      <c r="A26" s="21" t="s">
        <v>40</v>
      </c>
      <c r="B26" s="22" t="s">
        <v>30</v>
      </c>
      <c r="C26" s="2">
        <v>333</v>
      </c>
      <c r="D26" s="5">
        <f t="shared" si="12"/>
        <v>3996</v>
      </c>
      <c r="E26" s="5">
        <v>333</v>
      </c>
      <c r="F26" s="5">
        <f t="shared" si="13"/>
        <v>3996</v>
      </c>
      <c r="G26" s="5">
        <v>278</v>
      </c>
      <c r="H26" s="5">
        <f t="shared" si="14"/>
        <v>3336</v>
      </c>
      <c r="I26" s="5"/>
      <c r="J26" s="5"/>
      <c r="K26" s="103">
        <f t="shared" si="11"/>
        <v>11328</v>
      </c>
      <c r="L26" s="103">
        <f>(5150+6030)/C6*C5</f>
        <v>4982.6458641673244</v>
      </c>
      <c r="M26" s="502"/>
      <c r="N26" s="103">
        <f>8600/C6*C5</f>
        <v>3832.8045108979422</v>
      </c>
      <c r="O26" s="103">
        <f t="shared" si="7"/>
        <v>8815.4503750652657</v>
      </c>
      <c r="P26" s="499">
        <f t="shared" si="2"/>
        <v>2512.5496249347343</v>
      </c>
    </row>
    <row r="27" spans="1:16" ht="27.75" customHeight="1" x14ac:dyDescent="0.25">
      <c r="A27" s="21" t="s">
        <v>52</v>
      </c>
      <c r="B27" s="22" t="s">
        <v>31</v>
      </c>
      <c r="C27" s="2">
        <v>278</v>
      </c>
      <c r="D27" s="5">
        <f t="shared" si="12"/>
        <v>3336</v>
      </c>
      <c r="E27" s="5">
        <v>278</v>
      </c>
      <c r="F27" s="5">
        <f t="shared" si="13"/>
        <v>3336</v>
      </c>
      <c r="G27" s="5">
        <v>279</v>
      </c>
      <c r="H27" s="5">
        <f t="shared" si="14"/>
        <v>3348</v>
      </c>
      <c r="I27" s="5"/>
      <c r="J27" s="5"/>
      <c r="K27" s="103">
        <f t="shared" si="11"/>
        <v>10020</v>
      </c>
      <c r="L27" s="103">
        <f>68500/C6*C5</f>
        <v>30528.733604245237</v>
      </c>
      <c r="M27" s="103"/>
      <c r="N27" s="103"/>
      <c r="O27" s="103">
        <f t="shared" si="7"/>
        <v>30528.733604245237</v>
      </c>
      <c r="P27" s="499">
        <f t="shared" si="2"/>
        <v>-20508.733604245237</v>
      </c>
    </row>
    <row r="28" spans="1:16" ht="27.75" customHeight="1" x14ac:dyDescent="0.25">
      <c r="A28" s="21" t="s">
        <v>53</v>
      </c>
      <c r="B28" s="22" t="s">
        <v>32</v>
      </c>
      <c r="C28" s="2">
        <v>6000</v>
      </c>
      <c r="D28" s="5">
        <f t="shared" si="12"/>
        <v>72000</v>
      </c>
      <c r="E28" s="3">
        <v>6000</v>
      </c>
      <c r="F28" s="5">
        <f t="shared" si="13"/>
        <v>72000</v>
      </c>
      <c r="G28" s="3">
        <v>6000</v>
      </c>
      <c r="H28" s="5">
        <f t="shared" si="14"/>
        <v>72000</v>
      </c>
      <c r="I28" s="5"/>
      <c r="J28" s="5"/>
      <c r="K28" s="103">
        <f t="shared" si="11"/>
        <v>216000</v>
      </c>
      <c r="L28" s="103">
        <f>228988.41/C6*C5</f>
        <v>102054.39660364506</v>
      </c>
      <c r="M28" s="103"/>
      <c r="N28" s="502"/>
      <c r="O28" s="103">
        <f t="shared" si="7"/>
        <v>102054.39660364506</v>
      </c>
      <c r="P28" s="499">
        <f t="shared" si="2"/>
        <v>113945.60339635494</v>
      </c>
    </row>
    <row r="29" spans="1:16" ht="27.75" customHeight="1" x14ac:dyDescent="0.25">
      <c r="A29" s="21" t="s">
        <v>54</v>
      </c>
      <c r="B29" s="22" t="s">
        <v>33</v>
      </c>
      <c r="C29" s="2">
        <v>167</v>
      </c>
      <c r="D29" s="5">
        <f t="shared" si="12"/>
        <v>2004</v>
      </c>
      <c r="E29" s="2">
        <v>167</v>
      </c>
      <c r="F29" s="5">
        <f t="shared" si="13"/>
        <v>2004</v>
      </c>
      <c r="G29" s="2">
        <v>167</v>
      </c>
      <c r="H29" s="5">
        <f t="shared" si="14"/>
        <v>2004</v>
      </c>
      <c r="I29" s="5"/>
      <c r="J29" s="5"/>
      <c r="K29" s="103">
        <f t="shared" si="11"/>
        <v>6012</v>
      </c>
      <c r="L29" s="502"/>
      <c r="M29" s="103">
        <f>11502/C6*C5</f>
        <v>5126.1531958544338</v>
      </c>
      <c r="N29" s="103">
        <f>20786/C6*C5</f>
        <v>9263.7993678517014</v>
      </c>
      <c r="O29" s="103">
        <f t="shared" si="7"/>
        <v>14389.952563706134</v>
      </c>
      <c r="P29" s="499">
        <f t="shared" si="2"/>
        <v>-8377.9525637061342</v>
      </c>
    </row>
    <row r="30" spans="1:16" ht="27.75" customHeight="1" x14ac:dyDescent="0.25">
      <c r="A30" s="21" t="s">
        <v>55</v>
      </c>
      <c r="B30" s="22" t="s">
        <v>36</v>
      </c>
      <c r="C30" s="2"/>
      <c r="D30" s="5"/>
      <c r="E30" s="2"/>
      <c r="F30" s="5"/>
      <c r="G30" s="2"/>
      <c r="H30" s="5"/>
      <c r="I30" s="5"/>
      <c r="J30" s="5"/>
      <c r="K30" s="103"/>
      <c r="L30" s="103">
        <f>5489.54/C6*C5</f>
        <v>2446.550427297057</v>
      </c>
      <c r="M30" s="103">
        <f>379/C6*C5</f>
        <v>168.91080344538608</v>
      </c>
      <c r="N30" s="103"/>
      <c r="O30" s="103">
        <f t="shared" si="7"/>
        <v>2615.4612307424431</v>
      </c>
      <c r="P30" s="499">
        <f t="shared" si="2"/>
        <v>-2615.4612307424431</v>
      </c>
    </row>
    <row r="31" spans="1:16" ht="27.75" customHeight="1" x14ac:dyDescent="0.25">
      <c r="A31" s="21" t="s">
        <v>56</v>
      </c>
      <c r="B31" s="22" t="s">
        <v>82</v>
      </c>
      <c r="C31" s="2"/>
      <c r="D31" s="5"/>
      <c r="E31" s="2"/>
      <c r="F31" s="5"/>
      <c r="G31" s="2"/>
      <c r="H31" s="5"/>
      <c r="I31" s="5"/>
      <c r="J31" s="5"/>
      <c r="K31" s="103"/>
      <c r="L31" s="103">
        <f>104348/C6*C5</f>
        <v>46505.288965485866</v>
      </c>
      <c r="M31" s="103"/>
      <c r="N31" s="103"/>
      <c r="O31" s="103">
        <f t="shared" si="7"/>
        <v>46505.288965485866</v>
      </c>
      <c r="P31" s="499">
        <f t="shared" si="2"/>
        <v>-46505.288965485866</v>
      </c>
    </row>
    <row r="32" spans="1:16" ht="27.75" customHeight="1" x14ac:dyDescent="0.25">
      <c r="A32" s="21" t="s">
        <v>59</v>
      </c>
      <c r="B32" s="22" t="s">
        <v>83</v>
      </c>
      <c r="C32" s="2"/>
      <c r="D32" s="5"/>
      <c r="E32" s="2"/>
      <c r="F32" s="5"/>
      <c r="G32" s="2"/>
      <c r="H32" s="5"/>
      <c r="I32" s="5"/>
      <c r="J32" s="5"/>
      <c r="K32" s="103"/>
      <c r="L32" s="103">
        <f>130000/C6*C5</f>
        <v>57937.742606596796</v>
      </c>
      <c r="M32" s="103"/>
      <c r="N32" s="103"/>
      <c r="O32" s="103">
        <f t="shared" si="7"/>
        <v>57937.742606596796</v>
      </c>
      <c r="P32" s="499">
        <f t="shared" si="2"/>
        <v>-57937.742606596796</v>
      </c>
    </row>
    <row r="33" spans="1:17" ht="27.75" customHeight="1" x14ac:dyDescent="0.25">
      <c r="A33" s="21" t="s">
        <v>56</v>
      </c>
      <c r="B33" s="22" t="s">
        <v>76</v>
      </c>
      <c r="C33" s="2">
        <v>1.82</v>
      </c>
      <c r="D33" s="5">
        <f>C33*12*C4</f>
        <v>140083.94400000002</v>
      </c>
      <c r="E33" s="2">
        <v>1.82</v>
      </c>
      <c r="F33" s="5">
        <f>E33*12*E4</f>
        <v>139507.36799999999</v>
      </c>
      <c r="G33" s="2">
        <v>1.82</v>
      </c>
      <c r="H33" s="5">
        <f>G33*12*G4</f>
        <v>141901.4688</v>
      </c>
      <c r="I33" s="5"/>
      <c r="J33" s="5"/>
      <c r="K33" s="103">
        <f>D33+F33+H33+J33</f>
        <v>421492.78080000007</v>
      </c>
      <c r="L33" s="103">
        <f>SUM(L34:L40)</f>
        <v>60816.357064258409</v>
      </c>
      <c r="M33" s="103">
        <f>SUM(M34:M40)</f>
        <v>31993.814991463667</v>
      </c>
      <c r="N33" s="103">
        <f>SUM(N34:N40)</f>
        <v>25751.098213916637</v>
      </c>
      <c r="O33" s="103">
        <f>L33+M33+N33</f>
        <v>118561.27026963871</v>
      </c>
      <c r="P33" s="499">
        <f t="shared" si="2"/>
        <v>302931.51053036132</v>
      </c>
    </row>
    <row r="34" spans="1:17" ht="37.5" customHeight="1" x14ac:dyDescent="0.25">
      <c r="A34" s="21" t="s">
        <v>91</v>
      </c>
      <c r="B34" s="22" t="s">
        <v>60</v>
      </c>
      <c r="C34" s="4"/>
      <c r="D34" s="5"/>
      <c r="E34" s="5"/>
      <c r="F34" s="5"/>
      <c r="G34" s="5"/>
      <c r="H34" s="5"/>
      <c r="I34" s="5"/>
      <c r="J34" s="5"/>
      <c r="K34" s="103"/>
      <c r="L34" s="103">
        <f>43315/C6*C5</f>
        <v>19304.410161574924</v>
      </c>
      <c r="M34" s="103"/>
      <c r="N34" s="103"/>
      <c r="O34" s="103">
        <f t="shared" si="7"/>
        <v>19304.410161574924</v>
      </c>
      <c r="P34" s="499">
        <f t="shared" si="2"/>
        <v>-19304.410161574924</v>
      </c>
    </row>
    <row r="35" spans="1:17" ht="37.5" customHeight="1" x14ac:dyDescent="0.25">
      <c r="A35" s="21" t="s">
        <v>92</v>
      </c>
      <c r="B35" s="22" t="s">
        <v>77</v>
      </c>
      <c r="C35" s="4"/>
      <c r="D35" s="5"/>
      <c r="E35" s="5"/>
      <c r="F35" s="5"/>
      <c r="G35" s="5"/>
      <c r="H35" s="5"/>
      <c r="I35" s="5"/>
      <c r="J35" s="5"/>
      <c r="K35" s="103"/>
      <c r="L35" s="103"/>
      <c r="M35" s="103"/>
      <c r="N35" s="103">
        <f>25090/C6*C5</f>
        <v>11181.984323073182</v>
      </c>
      <c r="O35" s="103">
        <f t="shared" si="7"/>
        <v>11181.984323073182</v>
      </c>
      <c r="P35" s="499">
        <f t="shared" si="2"/>
        <v>-11181.984323073182</v>
      </c>
    </row>
    <row r="36" spans="1:17" ht="37.5" customHeight="1" x14ac:dyDescent="0.25">
      <c r="A36" s="21" t="s">
        <v>93</v>
      </c>
      <c r="B36" s="22" t="s">
        <v>81</v>
      </c>
      <c r="C36" s="4"/>
      <c r="D36" s="5"/>
      <c r="E36" s="5"/>
      <c r="F36" s="5"/>
      <c r="G36" s="5"/>
      <c r="H36" s="5"/>
      <c r="I36" s="5"/>
      <c r="J36" s="5"/>
      <c r="K36" s="103"/>
      <c r="L36" s="103"/>
      <c r="M36" s="103"/>
      <c r="N36" s="103">
        <f>24990/C6*C5</f>
        <v>11137.416828760415</v>
      </c>
      <c r="O36" s="103">
        <f t="shared" si="7"/>
        <v>11137.416828760415</v>
      </c>
      <c r="P36" s="499">
        <f t="shared" si="2"/>
        <v>-11137.416828760415</v>
      </c>
    </row>
    <row r="37" spans="1:17" ht="37.5" customHeight="1" x14ac:dyDescent="0.25">
      <c r="A37" s="21" t="s">
        <v>94</v>
      </c>
      <c r="B37" s="22" t="s">
        <v>79</v>
      </c>
      <c r="C37" s="4"/>
      <c r="D37" s="5"/>
      <c r="E37" s="5"/>
      <c r="F37" s="5"/>
      <c r="G37" s="5"/>
      <c r="H37" s="5"/>
      <c r="I37" s="5"/>
      <c r="J37" s="5"/>
      <c r="K37" s="103"/>
      <c r="L37" s="103">
        <f>2250/C6*C5</f>
        <v>1002.7686220372523</v>
      </c>
      <c r="M37" s="103">
        <f>(6088+7751+18827+2211)/C6*C5</f>
        <v>15543.804991463665</v>
      </c>
      <c r="N37" s="103"/>
      <c r="O37" s="103">
        <f t="shared" si="7"/>
        <v>16546.573613500917</v>
      </c>
      <c r="P37" s="499">
        <f t="shared" si="2"/>
        <v>-16546.573613500917</v>
      </c>
    </row>
    <row r="38" spans="1:17" ht="37.5" customHeight="1" x14ac:dyDescent="0.25">
      <c r="A38" s="21" t="s">
        <v>179</v>
      </c>
      <c r="B38" s="22" t="s">
        <v>180</v>
      </c>
      <c r="C38" s="4"/>
      <c r="D38" s="5"/>
      <c r="E38" s="5"/>
      <c r="F38" s="5"/>
      <c r="G38" s="5"/>
      <c r="H38" s="5"/>
      <c r="I38" s="5"/>
      <c r="J38" s="5"/>
      <c r="K38" s="103"/>
      <c r="L38" s="103"/>
      <c r="M38" s="103">
        <v>12068.87</v>
      </c>
      <c r="N38" s="103"/>
      <c r="O38" s="103">
        <f t="shared" si="7"/>
        <v>12068.87</v>
      </c>
      <c r="P38" s="499">
        <f t="shared" si="2"/>
        <v>-12068.87</v>
      </c>
    </row>
    <row r="39" spans="1:17" ht="37.5" customHeight="1" x14ac:dyDescent="0.25">
      <c r="A39" s="21" t="s">
        <v>95</v>
      </c>
      <c r="B39" s="159" t="s">
        <v>273</v>
      </c>
      <c r="C39" s="4"/>
      <c r="D39" s="154"/>
      <c r="E39" s="154"/>
      <c r="F39" s="154"/>
      <c r="G39" s="154"/>
      <c r="H39" s="154"/>
      <c r="I39" s="154"/>
      <c r="J39" s="154"/>
      <c r="K39" s="347"/>
      <c r="L39" s="347"/>
      <c r="M39" s="347">
        <f>916.14+3465</f>
        <v>4381.1400000000003</v>
      </c>
      <c r="N39" s="347"/>
      <c r="O39" s="103">
        <f t="shared" si="7"/>
        <v>4381.1400000000003</v>
      </c>
      <c r="P39" s="499">
        <f t="shared" si="2"/>
        <v>-4381.1400000000003</v>
      </c>
    </row>
    <row r="40" spans="1:17" ht="37.5" customHeight="1" x14ac:dyDescent="0.25">
      <c r="A40" s="21" t="s">
        <v>272</v>
      </c>
      <c r="B40" s="22" t="s">
        <v>83</v>
      </c>
      <c r="C40" s="4"/>
      <c r="D40" s="5"/>
      <c r="E40" s="5"/>
      <c r="F40" s="5"/>
      <c r="G40" s="5"/>
      <c r="H40" s="5"/>
      <c r="I40" s="5"/>
      <c r="J40" s="5"/>
      <c r="K40" s="103"/>
      <c r="L40" s="103">
        <f>90894/C6*C5</f>
        <v>40509.178280646229</v>
      </c>
      <c r="M40" s="103"/>
      <c r="N40" s="103">
        <f>7700/C6*C5</f>
        <v>3431.6970620830411</v>
      </c>
      <c r="O40" s="103">
        <f t="shared" si="7"/>
        <v>43940.875342729269</v>
      </c>
      <c r="P40" s="499">
        <f t="shared" si="2"/>
        <v>-43940.875342729269</v>
      </c>
    </row>
    <row r="41" spans="1:17" ht="15" customHeight="1" x14ac:dyDescent="0.25">
      <c r="A41" s="21" t="s">
        <v>16</v>
      </c>
      <c r="B41" s="17" t="s">
        <v>4</v>
      </c>
      <c r="C41" s="2">
        <v>1.31</v>
      </c>
      <c r="D41" s="5">
        <f>C41*6359.2*12</f>
        <v>99966.623999999996</v>
      </c>
      <c r="E41" s="5">
        <v>1.31</v>
      </c>
      <c r="F41" s="5">
        <f>E41*6359.2*12</f>
        <v>99966.623999999996</v>
      </c>
      <c r="G41" s="5">
        <v>1.31</v>
      </c>
      <c r="H41" s="5">
        <f>G41*6359.2*12</f>
        <v>99966.623999999996</v>
      </c>
      <c r="I41" s="57"/>
      <c r="J41" s="5"/>
      <c r="K41" s="51">
        <f>D41+F41+H41+J41</f>
        <v>299899.87199999997</v>
      </c>
      <c r="L41" s="103">
        <v>299899.87</v>
      </c>
      <c r="M41" s="103"/>
      <c r="N41" s="103"/>
      <c r="O41" s="51">
        <f t="shared" si="7"/>
        <v>299899.87</v>
      </c>
      <c r="P41" s="478">
        <f t="shared" si="2"/>
        <v>1.9999999785795808E-3</v>
      </c>
    </row>
    <row r="42" spans="1:17" ht="15" customHeight="1" x14ac:dyDescent="0.25">
      <c r="A42" s="21" t="s">
        <v>17</v>
      </c>
      <c r="B42" s="17" t="s">
        <v>5</v>
      </c>
      <c r="C42" s="2">
        <v>36</v>
      </c>
      <c r="D42" s="5">
        <f>C42*12*84</f>
        <v>36288</v>
      </c>
      <c r="E42" s="5">
        <v>36</v>
      </c>
      <c r="F42" s="5">
        <f>E42*12*81</f>
        <v>34992</v>
      </c>
      <c r="G42" s="5">
        <v>35</v>
      </c>
      <c r="H42" s="5">
        <f>G42*12*84</f>
        <v>35280</v>
      </c>
      <c r="I42" s="5"/>
      <c r="J42" s="5"/>
      <c r="K42" s="51">
        <f>D42+F42+H42+J42</f>
        <v>106560</v>
      </c>
      <c r="L42" s="103">
        <v>106560</v>
      </c>
      <c r="M42" s="103"/>
      <c r="N42" s="103"/>
      <c r="O42" s="51">
        <f t="shared" si="7"/>
        <v>106560</v>
      </c>
      <c r="P42" s="478">
        <f t="shared" si="2"/>
        <v>0</v>
      </c>
    </row>
    <row r="43" spans="1:17" ht="15" customHeight="1" x14ac:dyDescent="0.25">
      <c r="A43" s="21" t="s">
        <v>18</v>
      </c>
      <c r="B43" s="17" t="s">
        <v>6</v>
      </c>
      <c r="C43" s="2">
        <v>2.63</v>
      </c>
      <c r="D43" s="5">
        <f>C43*12*C4</f>
        <v>202428.99600000001</v>
      </c>
      <c r="E43" s="5">
        <v>2.63</v>
      </c>
      <c r="F43" s="5">
        <f>E43*12*E4</f>
        <v>201595.81199999998</v>
      </c>
      <c r="G43" s="5">
        <v>2.63</v>
      </c>
      <c r="H43" s="5">
        <f>G43*12*G4</f>
        <v>205055.41919999997</v>
      </c>
      <c r="I43" s="5"/>
      <c r="J43" s="5"/>
      <c r="K43" s="51">
        <f>D43+F43+H43+J43</f>
        <v>609080.22719999996</v>
      </c>
      <c r="L43" s="103">
        <v>545615</v>
      </c>
      <c r="M43" s="103"/>
      <c r="N43" s="103"/>
      <c r="O43" s="51">
        <f t="shared" si="7"/>
        <v>545615</v>
      </c>
      <c r="P43" s="478">
        <f t="shared" si="2"/>
        <v>63465.227199999965</v>
      </c>
      <c r="Q43" s="12" t="s">
        <v>78</v>
      </c>
    </row>
    <row r="44" spans="1:17" ht="15" customHeight="1" x14ac:dyDescent="0.25">
      <c r="A44" s="21" t="s">
        <v>57</v>
      </c>
      <c r="B44" s="17" t="s">
        <v>3</v>
      </c>
      <c r="C44" s="2">
        <v>1</v>
      </c>
      <c r="D44" s="5">
        <f>C44*12*C4</f>
        <v>76969.200000000012</v>
      </c>
      <c r="E44" s="5">
        <v>1.5</v>
      </c>
      <c r="F44" s="5">
        <f>E44*12*E4</f>
        <v>114978.59999999999</v>
      </c>
      <c r="G44" s="5">
        <v>2</v>
      </c>
      <c r="H44" s="5">
        <f>G44*12*G4</f>
        <v>155935.67999999999</v>
      </c>
      <c r="I44" s="5"/>
      <c r="J44" s="5"/>
      <c r="K44" s="51">
        <f>D44+F44+H44+J44-F44</f>
        <v>232904.88</v>
      </c>
      <c r="L44" s="103">
        <f>SUM(L45:L47)</f>
        <v>156696</v>
      </c>
      <c r="M44" s="103">
        <f t="shared" ref="M44:N44" si="15">SUM(M45:M47)</f>
        <v>0</v>
      </c>
      <c r="N44" s="103">
        <f t="shared" si="15"/>
        <v>0</v>
      </c>
      <c r="O44" s="51">
        <f t="shared" si="7"/>
        <v>156696</v>
      </c>
      <c r="P44" s="478">
        <f>K44-O44</f>
        <v>76208.88</v>
      </c>
    </row>
    <row r="45" spans="1:17" ht="50.25" customHeight="1" x14ac:dyDescent="0.25">
      <c r="A45" s="152" t="s">
        <v>271</v>
      </c>
      <c r="B45" s="25" t="s">
        <v>224</v>
      </c>
      <c r="C45" s="153"/>
      <c r="D45" s="154"/>
      <c r="E45" s="154"/>
      <c r="F45" s="154"/>
      <c r="G45" s="154"/>
      <c r="H45" s="154"/>
      <c r="I45" s="154"/>
      <c r="J45" s="154"/>
      <c r="K45" s="348"/>
      <c r="L45" s="347">
        <v>113164</v>
      </c>
      <c r="M45" s="347"/>
      <c r="N45" s="347"/>
      <c r="O45" s="347">
        <v>113164</v>
      </c>
      <c r="P45" s="510"/>
    </row>
    <row r="46" spans="1:17" ht="28.5" customHeight="1" x14ac:dyDescent="0.25">
      <c r="A46" s="152" t="s">
        <v>672</v>
      </c>
      <c r="B46" s="25" t="s">
        <v>80</v>
      </c>
      <c r="C46" s="153"/>
      <c r="D46" s="154"/>
      <c r="E46" s="154"/>
      <c r="F46" s="154"/>
      <c r="G46" s="154"/>
      <c r="H46" s="154"/>
      <c r="I46" s="154"/>
      <c r="J46" s="154"/>
      <c r="K46" s="348"/>
      <c r="L46" s="103">
        <f>40032+3500</f>
        <v>43532</v>
      </c>
      <c r="M46" s="347"/>
      <c r="N46" s="347"/>
      <c r="O46" s="347">
        <v>43532</v>
      </c>
      <c r="P46" s="510"/>
    </row>
    <row r="47" spans="1:17" ht="15" customHeight="1" x14ac:dyDescent="0.25">
      <c r="B47" s="17"/>
      <c r="C47" s="2"/>
      <c r="D47" s="5"/>
      <c r="E47" s="5"/>
      <c r="F47" s="5"/>
      <c r="G47" s="5"/>
      <c r="H47" s="5"/>
      <c r="I47" s="5"/>
      <c r="J47" s="5"/>
      <c r="K47" s="51"/>
      <c r="L47" s="103"/>
      <c r="M47" s="103"/>
      <c r="N47" s="103"/>
      <c r="O47" s="51"/>
      <c r="P47" s="478"/>
    </row>
    <row r="48" spans="1:17" ht="15" customHeight="1" x14ac:dyDescent="0.25">
      <c r="A48" s="21" t="s">
        <v>84</v>
      </c>
      <c r="B48" s="17" t="s">
        <v>669</v>
      </c>
      <c r="C48" s="2"/>
      <c r="D48" s="5"/>
      <c r="E48" s="5"/>
      <c r="F48" s="5"/>
      <c r="G48" s="5"/>
      <c r="H48" s="5"/>
      <c r="I48" s="5"/>
      <c r="J48" s="5"/>
      <c r="K48" s="51">
        <f>E78</f>
        <v>125788</v>
      </c>
      <c r="L48" s="103">
        <f>L49</f>
        <v>48670.63</v>
      </c>
      <c r="M48" s="103">
        <f t="shared" ref="M48:N48" si="16">M49</f>
        <v>0</v>
      </c>
      <c r="N48" s="103">
        <f t="shared" si="16"/>
        <v>0</v>
      </c>
      <c r="O48" s="51">
        <f>L48+M48+N48</f>
        <v>48670.63</v>
      </c>
      <c r="P48" s="478">
        <f>K48-O48</f>
        <v>77117.37</v>
      </c>
    </row>
    <row r="49" spans="1:16" ht="24" customHeight="1" x14ac:dyDescent="0.25">
      <c r="A49" s="21" t="s">
        <v>670</v>
      </c>
      <c r="B49" s="25" t="s">
        <v>671</v>
      </c>
      <c r="C49" s="2"/>
      <c r="D49" s="5"/>
      <c r="E49" s="5"/>
      <c r="F49" s="5"/>
      <c r="G49" s="5"/>
      <c r="H49" s="5"/>
      <c r="I49" s="5"/>
      <c r="J49" s="5"/>
      <c r="K49" s="51"/>
      <c r="L49" s="103">
        <v>48670.63</v>
      </c>
      <c r="M49" s="103"/>
      <c r="N49" s="103"/>
      <c r="O49" s="103">
        <v>48670.63</v>
      </c>
      <c r="P49" s="478"/>
    </row>
    <row r="50" spans="1:16" ht="25.5" customHeight="1" x14ac:dyDescent="0.25">
      <c r="A50" s="21" t="s">
        <v>88</v>
      </c>
      <c r="B50" s="17" t="s">
        <v>85</v>
      </c>
      <c r="C50" s="2"/>
      <c r="D50" s="5"/>
      <c r="E50" s="5"/>
      <c r="F50" s="5"/>
      <c r="G50" s="5"/>
      <c r="H50" s="5"/>
      <c r="I50" s="5"/>
      <c r="J50" s="5"/>
      <c r="K50" s="103"/>
      <c r="L50" s="103"/>
      <c r="M50" s="103"/>
      <c r="N50" s="103"/>
      <c r="O50" s="51"/>
      <c r="P50" s="499"/>
    </row>
    <row r="51" spans="1:16" ht="36.75" customHeight="1" x14ac:dyDescent="0.25">
      <c r="A51" s="21" t="s">
        <v>673</v>
      </c>
      <c r="B51" s="25" t="s">
        <v>0</v>
      </c>
      <c r="C51" s="2"/>
      <c r="D51" s="5"/>
      <c r="E51" s="5"/>
      <c r="F51" s="5"/>
      <c r="G51" s="5"/>
      <c r="H51" s="5"/>
      <c r="I51" s="5"/>
      <c r="J51" s="5"/>
      <c r="K51" s="103"/>
      <c r="L51" s="103"/>
      <c r="M51" s="103"/>
      <c r="N51" s="103"/>
      <c r="O51" s="51"/>
      <c r="P51" s="499">
        <f>P9</f>
        <v>-18611.832201893681</v>
      </c>
    </row>
    <row r="52" spans="1:16" ht="27" customHeight="1" x14ac:dyDescent="0.25">
      <c r="A52" s="21" t="s">
        <v>684</v>
      </c>
      <c r="B52" s="25" t="s">
        <v>1</v>
      </c>
      <c r="C52" s="2"/>
      <c r="D52" s="5"/>
      <c r="E52" s="5"/>
      <c r="F52" s="5"/>
      <c r="G52" s="5"/>
      <c r="H52" s="5"/>
      <c r="I52" s="5"/>
      <c r="J52" s="5"/>
      <c r="K52" s="103"/>
      <c r="L52" s="103"/>
      <c r="M52" s="103"/>
      <c r="N52" s="502"/>
      <c r="O52" s="51"/>
      <c r="P52" s="499">
        <f>P13</f>
        <v>-193047.66039999999</v>
      </c>
    </row>
    <row r="53" spans="1:16" ht="27" customHeight="1" x14ac:dyDescent="0.25">
      <c r="A53" s="21" t="s">
        <v>685</v>
      </c>
      <c r="B53" s="22" t="s">
        <v>82</v>
      </c>
      <c r="C53" s="2"/>
      <c r="D53" s="5"/>
      <c r="E53" s="5"/>
      <c r="F53" s="5"/>
      <c r="G53" s="5"/>
      <c r="H53" s="5"/>
      <c r="I53" s="5"/>
      <c r="J53" s="5"/>
      <c r="K53" s="103"/>
      <c r="L53" s="103"/>
      <c r="M53" s="103"/>
      <c r="N53" s="502"/>
      <c r="O53" s="51"/>
      <c r="P53" s="499">
        <f>P31</f>
        <v>-46505.288965485866</v>
      </c>
    </row>
    <row r="54" spans="1:16" ht="27" customHeight="1" x14ac:dyDescent="0.25">
      <c r="A54" s="21" t="s">
        <v>686</v>
      </c>
      <c r="B54" s="22" t="s">
        <v>31</v>
      </c>
      <c r="C54" s="2"/>
      <c r="D54" s="5"/>
      <c r="E54" s="5"/>
      <c r="F54" s="5"/>
      <c r="G54" s="5"/>
      <c r="H54" s="5"/>
      <c r="I54" s="5"/>
      <c r="J54" s="5"/>
      <c r="K54" s="103"/>
      <c r="L54" s="103"/>
      <c r="M54" s="103"/>
      <c r="N54" s="502"/>
      <c r="O54" s="51"/>
      <c r="P54" s="499">
        <f>P27</f>
        <v>-20508.733604245237</v>
      </c>
    </row>
    <row r="55" spans="1:16" ht="27" customHeight="1" x14ac:dyDescent="0.25">
      <c r="A55" s="21" t="s">
        <v>687</v>
      </c>
      <c r="B55" s="22" t="s">
        <v>33</v>
      </c>
      <c r="C55" s="2"/>
      <c r="D55" s="5"/>
      <c r="E55" s="5"/>
      <c r="F55" s="5"/>
      <c r="G55" s="5"/>
      <c r="H55" s="5"/>
      <c r="I55" s="5"/>
      <c r="J55" s="5"/>
      <c r="K55" s="103"/>
      <c r="L55" s="103"/>
      <c r="M55" s="103"/>
      <c r="N55" s="502"/>
      <c r="O55" s="51"/>
      <c r="P55" s="499">
        <f>P29</f>
        <v>-8377.9525637061342</v>
      </c>
    </row>
    <row r="56" spans="1:16" ht="27" customHeight="1" x14ac:dyDescent="0.25">
      <c r="A56" s="21" t="s">
        <v>690</v>
      </c>
      <c r="B56" s="22" t="s">
        <v>36</v>
      </c>
      <c r="C56" s="2"/>
      <c r="D56" s="5"/>
      <c r="E56" s="5"/>
      <c r="F56" s="5"/>
      <c r="G56" s="5"/>
      <c r="H56" s="5"/>
      <c r="I56" s="5"/>
      <c r="J56" s="5"/>
      <c r="K56" s="103"/>
      <c r="L56" s="103"/>
      <c r="M56" s="103"/>
      <c r="N56" s="502"/>
      <c r="O56" s="51"/>
      <c r="P56" s="499">
        <f>P30</f>
        <v>-2615.4612307424431</v>
      </c>
    </row>
    <row r="57" spans="1:16" ht="27" customHeight="1" x14ac:dyDescent="0.25">
      <c r="A57" s="21" t="s">
        <v>691</v>
      </c>
      <c r="B57" s="22" t="s">
        <v>83</v>
      </c>
      <c r="C57" s="2"/>
      <c r="D57" s="5"/>
      <c r="E57" s="5"/>
      <c r="F57" s="5"/>
      <c r="G57" s="5"/>
      <c r="H57" s="5"/>
      <c r="I57" s="5"/>
      <c r="J57" s="5"/>
      <c r="K57" s="103"/>
      <c r="L57" s="103"/>
      <c r="M57" s="103"/>
      <c r="N57" s="502"/>
      <c r="O57" s="51"/>
      <c r="P57" s="499">
        <f>P32</f>
        <v>-57937.742606596796</v>
      </c>
    </row>
    <row r="58" spans="1:16" ht="27" customHeight="1" x14ac:dyDescent="0.25">
      <c r="A58" s="590" t="s">
        <v>87</v>
      </c>
      <c r="B58" s="590"/>
      <c r="C58" s="2"/>
      <c r="D58" s="5"/>
      <c r="E58" s="5"/>
      <c r="F58" s="5"/>
      <c r="G58" s="5"/>
      <c r="H58" s="5"/>
      <c r="I58" s="5"/>
      <c r="J58" s="5"/>
      <c r="K58" s="103"/>
      <c r="L58" s="103"/>
      <c r="M58" s="103"/>
      <c r="N58" s="502"/>
      <c r="O58" s="51"/>
      <c r="P58" s="478">
        <f>SUM(P51:P57)</f>
        <v>-347604.67157267017</v>
      </c>
    </row>
    <row r="59" spans="1:16" ht="27" customHeight="1" x14ac:dyDescent="0.25">
      <c r="A59" s="21" t="s">
        <v>674</v>
      </c>
      <c r="B59" s="63" t="s">
        <v>89</v>
      </c>
      <c r="C59" s="2"/>
      <c r="D59" s="5"/>
      <c r="E59" s="5"/>
      <c r="F59" s="5"/>
      <c r="G59" s="5"/>
      <c r="H59" s="5"/>
      <c r="I59" s="5"/>
      <c r="J59" s="5"/>
      <c r="K59" s="103"/>
      <c r="L59" s="103"/>
      <c r="M59" s="103"/>
      <c r="N59" s="502"/>
      <c r="O59" s="51"/>
      <c r="P59" s="478"/>
    </row>
    <row r="60" spans="1:16" ht="27" customHeight="1" x14ac:dyDescent="0.25">
      <c r="A60" s="21" t="s">
        <v>688</v>
      </c>
      <c r="B60" s="352" t="s">
        <v>689</v>
      </c>
      <c r="C60" s="2"/>
      <c r="D60" s="5"/>
      <c r="E60" s="5"/>
      <c r="F60" s="5"/>
      <c r="G60" s="5"/>
      <c r="H60" s="5"/>
      <c r="I60" s="5"/>
      <c r="J60" s="5"/>
      <c r="K60" s="103"/>
      <c r="L60" s="103"/>
      <c r="M60" s="103"/>
      <c r="N60" s="502"/>
      <c r="O60" s="51"/>
      <c r="P60" s="499">
        <f>G78</f>
        <v>125788</v>
      </c>
    </row>
    <row r="61" spans="1:16" ht="27" customHeight="1" x14ac:dyDescent="0.25">
      <c r="A61" s="21" t="s">
        <v>676</v>
      </c>
      <c r="B61" s="22" t="s">
        <v>32</v>
      </c>
      <c r="C61" s="2"/>
      <c r="D61" s="5"/>
      <c r="E61" s="5"/>
      <c r="F61" s="5"/>
      <c r="G61" s="5"/>
      <c r="H61" s="5"/>
      <c r="I61" s="5"/>
      <c r="J61" s="5"/>
      <c r="K61" s="103"/>
      <c r="L61" s="103"/>
      <c r="M61" s="103"/>
      <c r="N61" s="502"/>
      <c r="O61" s="51"/>
      <c r="P61" s="499">
        <f>P28</f>
        <v>113945.60339635494</v>
      </c>
    </row>
    <row r="62" spans="1:16" ht="27" customHeight="1" x14ac:dyDescent="0.25">
      <c r="A62" s="21" t="s">
        <v>677</v>
      </c>
      <c r="B62" s="22" t="s">
        <v>28</v>
      </c>
      <c r="C62" s="2"/>
      <c r="D62" s="5"/>
      <c r="E62" s="5"/>
      <c r="F62" s="5"/>
      <c r="G62" s="5"/>
      <c r="H62" s="5"/>
      <c r="I62" s="5"/>
      <c r="J62" s="5"/>
      <c r="K62" s="103"/>
      <c r="L62" s="103"/>
      <c r="M62" s="103"/>
      <c r="N62" s="502"/>
      <c r="O62" s="51"/>
      <c r="P62" s="499">
        <f>P24</f>
        <v>45326.876851627123</v>
      </c>
    </row>
    <row r="63" spans="1:16" ht="27" customHeight="1" x14ac:dyDescent="0.25">
      <c r="A63" s="21" t="s">
        <v>678</v>
      </c>
      <c r="B63" s="22" t="s">
        <v>6</v>
      </c>
      <c r="C63" s="2"/>
      <c r="D63" s="5"/>
      <c r="E63" s="5"/>
      <c r="F63" s="5"/>
      <c r="G63" s="5"/>
      <c r="H63" s="5"/>
      <c r="I63" s="5"/>
      <c r="J63" s="5"/>
      <c r="K63" s="103"/>
      <c r="L63" s="103"/>
      <c r="M63" s="103"/>
      <c r="N63" s="502"/>
      <c r="O63" s="51"/>
      <c r="P63" s="499">
        <f>P43</f>
        <v>63465.227199999965</v>
      </c>
    </row>
    <row r="64" spans="1:16" ht="27" customHeight="1" x14ac:dyDescent="0.25">
      <c r="A64" s="591" t="s">
        <v>87</v>
      </c>
      <c r="B64" s="592"/>
      <c r="C64" s="2"/>
      <c r="D64" s="5"/>
      <c r="E64" s="5"/>
      <c r="F64" s="5"/>
      <c r="G64" s="5"/>
      <c r="H64" s="5"/>
      <c r="I64" s="5"/>
      <c r="J64" s="5"/>
      <c r="K64" s="103"/>
      <c r="L64" s="103"/>
      <c r="M64" s="103"/>
      <c r="N64" s="502"/>
      <c r="O64" s="51"/>
      <c r="P64" s="478">
        <f>SUM(P60:P63)</f>
        <v>348525.70744798204</v>
      </c>
    </row>
    <row r="65" spans="1:16" ht="27" customHeight="1" x14ac:dyDescent="0.25">
      <c r="A65" s="353"/>
      <c r="B65" s="354"/>
      <c r="C65" s="2"/>
      <c r="D65" s="5"/>
      <c r="E65" s="5"/>
      <c r="F65" s="5"/>
      <c r="G65" s="5"/>
      <c r="H65" s="5"/>
      <c r="I65" s="5"/>
      <c r="J65" s="5"/>
      <c r="K65" s="103"/>
      <c r="L65" s="103"/>
      <c r="M65" s="103"/>
      <c r="N65" s="502"/>
      <c r="O65" s="51"/>
      <c r="P65" s="478"/>
    </row>
    <row r="66" spans="1:16" s="28" customFormat="1" ht="45" customHeight="1" x14ac:dyDescent="0.25">
      <c r="A66" s="26"/>
      <c r="B66" s="27" t="s">
        <v>61</v>
      </c>
      <c r="C66" s="18">
        <f>D66/C4/12</f>
        <v>19.047221122215124</v>
      </c>
      <c r="D66" s="18">
        <f>D9+D13+D22+D41+D42+D43+D44</f>
        <v>1466049.3720000002</v>
      </c>
      <c r="E66" s="18">
        <f>F66/E4/12</f>
        <v>19.544501933403261</v>
      </c>
      <c r="F66" s="18">
        <f>F9+F13+F22+F41+F42+F43+F44</f>
        <v>1498132.98</v>
      </c>
      <c r="G66" s="18">
        <f>H66/G4/12</f>
        <v>20.013596744503886</v>
      </c>
      <c r="H66" s="18">
        <f>H9+H13+H22+H41+H42+H43+H44</f>
        <v>1560416.9087999999</v>
      </c>
      <c r="I66" s="18"/>
      <c r="J66" s="18"/>
      <c r="K66" s="51">
        <f>K9+K13+K22+K41+K42+K43</f>
        <v>4176715.7808000003</v>
      </c>
      <c r="L66" s="51">
        <f>L9+L13+L22+L41+L42+L43</f>
        <v>4166389.9545170804</v>
      </c>
      <c r="M66" s="51">
        <f>M9+M13+M22+M41+M42+M43</f>
        <v>100024.61399929981</v>
      </c>
      <c r="N66" s="51">
        <f>N9+N13+N22+N41+N42+N43</f>
        <v>30150.458480643316</v>
      </c>
      <c r="O66" s="51">
        <f>O9+O13+O22+O41+O42+O43</f>
        <v>4296565.0269970242</v>
      </c>
      <c r="P66" s="478">
        <f t="shared" si="2"/>
        <v>-119849.24619702389</v>
      </c>
    </row>
    <row r="67" spans="1:16" s="11" customFormat="1" ht="16.5" customHeight="1" x14ac:dyDescent="0.25">
      <c r="A67" s="351"/>
      <c r="B67" s="7"/>
      <c r="C67" s="40"/>
      <c r="D67" s="58"/>
      <c r="E67" s="40"/>
      <c r="F67" s="40"/>
      <c r="G67" s="40"/>
      <c r="H67" s="40"/>
      <c r="I67" s="40"/>
      <c r="J67" s="40"/>
      <c r="K67" s="40"/>
      <c r="L67" s="497"/>
      <c r="M67" s="497"/>
      <c r="N67" s="497"/>
      <c r="O67" s="497"/>
      <c r="P67" s="497"/>
    </row>
    <row r="68" spans="1:16" s="11" customFormat="1" ht="19.5" customHeight="1" x14ac:dyDescent="0.25">
      <c r="A68" s="351"/>
      <c r="B68" s="7"/>
      <c r="C68" s="40"/>
      <c r="D68" s="58"/>
      <c r="E68" s="40"/>
      <c r="F68" s="40"/>
      <c r="G68" s="40"/>
      <c r="H68" s="40"/>
      <c r="I68" s="40"/>
      <c r="J68" s="40"/>
      <c r="K68" s="40"/>
      <c r="L68" s="497"/>
      <c r="M68" s="497"/>
      <c r="N68" s="497"/>
      <c r="O68" s="497"/>
      <c r="P68" s="497"/>
    </row>
    <row r="69" spans="1:16" s="31" customFormat="1" ht="12" hidden="1" customHeight="1" x14ac:dyDescent="0.25">
      <c r="A69" s="350"/>
      <c r="B69" s="30" t="s">
        <v>64</v>
      </c>
      <c r="C69" s="59"/>
      <c r="D69" s="60" t="s">
        <v>62</v>
      </c>
      <c r="E69" s="61"/>
      <c r="F69" s="62">
        <f>D66+F66+H66</f>
        <v>4524599.2608000003</v>
      </c>
      <c r="G69" s="41"/>
      <c r="H69" s="41"/>
      <c r="I69" s="59" t="s">
        <v>63</v>
      </c>
      <c r="J69" s="62">
        <f>J66</f>
        <v>0</v>
      </c>
      <c r="K69" s="43">
        <f>F69+J69</f>
        <v>4524599.2608000003</v>
      </c>
      <c r="L69" s="43"/>
      <c r="M69" s="43"/>
      <c r="N69" s="43"/>
      <c r="O69" s="43"/>
      <c r="P69" s="43"/>
    </row>
    <row r="70" spans="1:16" s="31" customFormat="1" ht="12" customHeight="1" x14ac:dyDescent="0.25">
      <c r="A70" s="350"/>
      <c r="B70" s="30"/>
      <c r="C70" s="69"/>
      <c r="D70" s="70"/>
      <c r="E70" s="69"/>
      <c r="F70" s="71"/>
      <c r="G70" s="41"/>
      <c r="H70" s="41"/>
      <c r="I70" s="69"/>
      <c r="J70" s="71"/>
      <c r="K70" s="43"/>
      <c r="L70" s="43"/>
      <c r="M70" s="43"/>
      <c r="N70" s="43"/>
      <c r="O70" s="43"/>
      <c r="P70" s="43"/>
    </row>
    <row r="71" spans="1:16" s="31" customFormat="1" ht="12" hidden="1" customHeight="1" x14ac:dyDescent="0.25">
      <c r="A71" s="593" t="s">
        <v>112</v>
      </c>
      <c r="B71" s="593"/>
      <c r="C71" s="593"/>
      <c r="D71" s="593"/>
      <c r="E71" s="593"/>
      <c r="F71" s="593"/>
      <c r="G71" s="593"/>
      <c r="H71" s="41"/>
      <c r="I71" s="69"/>
      <c r="J71" s="71"/>
      <c r="K71" s="43"/>
      <c r="L71" s="43"/>
      <c r="M71" s="43"/>
      <c r="N71" s="43"/>
      <c r="O71" s="43"/>
      <c r="P71" s="43"/>
    </row>
    <row r="72" spans="1:16" s="11" customFormat="1" hidden="1" x14ac:dyDescent="0.25">
      <c r="A72" s="351"/>
      <c r="B72" s="7"/>
      <c r="C72" s="40"/>
      <c r="D72" s="58"/>
      <c r="E72" s="40"/>
      <c r="F72" s="40"/>
      <c r="G72" s="40"/>
      <c r="H72" s="40"/>
      <c r="I72" s="40"/>
      <c r="J72" s="40"/>
      <c r="K72" s="40"/>
      <c r="L72" s="497"/>
      <c r="M72" s="497"/>
      <c r="N72" s="497"/>
      <c r="O72" s="497"/>
      <c r="P72" s="497"/>
    </row>
    <row r="73" spans="1:16" s="32" customFormat="1" ht="24" hidden="1" x14ac:dyDescent="0.25">
      <c r="A73" s="64" t="s">
        <v>96</v>
      </c>
      <c r="B73" s="65" t="s">
        <v>41</v>
      </c>
      <c r="C73" s="66" t="s">
        <v>98</v>
      </c>
      <c r="D73" s="67" t="s">
        <v>99</v>
      </c>
      <c r="E73" s="66" t="s">
        <v>100</v>
      </c>
      <c r="F73" s="66" t="s">
        <v>104</v>
      </c>
      <c r="G73" s="66" t="s">
        <v>105</v>
      </c>
      <c r="H73" s="40"/>
      <c r="I73" s="40"/>
      <c r="J73" s="40"/>
      <c r="K73" s="40"/>
      <c r="L73" s="497"/>
      <c r="M73" s="497"/>
      <c r="N73" s="497"/>
      <c r="O73" s="497"/>
      <c r="P73" s="497"/>
    </row>
    <row r="74" spans="1:16" s="32" customFormat="1" hidden="1" x14ac:dyDescent="0.25">
      <c r="A74" s="64" t="s">
        <v>13</v>
      </c>
      <c r="B74" s="65" t="s">
        <v>103</v>
      </c>
      <c r="C74" s="66" t="s">
        <v>67</v>
      </c>
      <c r="D74" s="67">
        <v>3000</v>
      </c>
      <c r="E74" s="66">
        <f>D74*8</f>
        <v>24000</v>
      </c>
      <c r="F74" s="66"/>
      <c r="G74" s="66"/>
      <c r="H74" s="40"/>
      <c r="I74" s="40"/>
      <c r="J74" s="40"/>
      <c r="K74" s="40"/>
      <c r="L74" s="497"/>
      <c r="M74" s="497"/>
      <c r="N74" s="497"/>
      <c r="O74" s="497"/>
      <c r="P74" s="497"/>
    </row>
    <row r="75" spans="1:16" s="32" customFormat="1" hidden="1" x14ac:dyDescent="0.25">
      <c r="A75" s="64" t="s">
        <v>14</v>
      </c>
      <c r="B75" s="65" t="s">
        <v>97</v>
      </c>
      <c r="C75" s="66" t="s">
        <v>67</v>
      </c>
      <c r="D75" s="67">
        <v>3000</v>
      </c>
      <c r="E75" s="66">
        <f>D75*12+9700</f>
        <v>45700</v>
      </c>
      <c r="F75" s="66"/>
      <c r="G75" s="66"/>
      <c r="H75" s="40"/>
      <c r="I75" s="40"/>
      <c r="J75" s="40"/>
      <c r="K75" s="40"/>
      <c r="L75" s="497"/>
      <c r="M75" s="497"/>
      <c r="N75" s="497"/>
      <c r="O75" s="497"/>
      <c r="P75" s="497"/>
    </row>
    <row r="76" spans="1:16" s="32" customFormat="1" hidden="1" x14ac:dyDescent="0.25">
      <c r="A76" s="64" t="s">
        <v>15</v>
      </c>
      <c r="B76" s="65" t="s">
        <v>101</v>
      </c>
      <c r="C76" s="66" t="s">
        <v>67</v>
      </c>
      <c r="D76" s="67">
        <v>3000</v>
      </c>
      <c r="E76" s="66">
        <f>D76*12</f>
        <v>36000</v>
      </c>
      <c r="F76" s="66"/>
      <c r="G76" s="66"/>
      <c r="H76" s="40"/>
      <c r="I76" s="40"/>
      <c r="J76" s="40"/>
      <c r="K76" s="40"/>
      <c r="L76" s="497"/>
      <c r="M76" s="497"/>
      <c r="N76" s="497"/>
      <c r="O76" s="497"/>
      <c r="P76" s="497"/>
    </row>
    <row r="77" spans="1:16" s="32" customFormat="1" hidden="1" x14ac:dyDescent="0.25">
      <c r="A77" s="64" t="s">
        <v>16</v>
      </c>
      <c r="B77" s="65" t="s">
        <v>102</v>
      </c>
      <c r="C77" s="66" t="s">
        <v>67</v>
      </c>
      <c r="D77" s="67">
        <v>1674</v>
      </c>
      <c r="E77" s="66">
        <f>D77*12</f>
        <v>20088</v>
      </c>
      <c r="F77" s="66"/>
      <c r="G77" s="66"/>
      <c r="H77" s="40"/>
      <c r="I77" s="40"/>
      <c r="J77" s="40"/>
      <c r="K77" s="40"/>
      <c r="L77" s="497"/>
      <c r="M77" s="497"/>
      <c r="N77" s="497"/>
      <c r="O77" s="497"/>
      <c r="P77" s="497"/>
    </row>
    <row r="78" spans="1:16" s="32" customFormat="1" hidden="1" x14ac:dyDescent="0.25">
      <c r="A78" s="64"/>
      <c r="B78" s="65"/>
      <c r="C78" s="66"/>
      <c r="D78" s="67"/>
      <c r="E78" s="66">
        <f>SUM(E74:E77)</f>
        <v>125788</v>
      </c>
      <c r="F78" s="66"/>
      <c r="G78" s="66">
        <f>E78-F78</f>
        <v>125788</v>
      </c>
      <c r="H78" s="40"/>
      <c r="I78" s="40"/>
      <c r="J78" s="40"/>
      <c r="K78" s="40"/>
      <c r="L78" s="497"/>
      <c r="M78" s="497"/>
      <c r="N78" s="497"/>
      <c r="O78" s="497"/>
      <c r="P78" s="497"/>
    </row>
    <row r="79" spans="1:16" s="32" customFormat="1" hidden="1" x14ac:dyDescent="0.25">
      <c r="A79" s="64" t="s">
        <v>13</v>
      </c>
      <c r="B79" s="65" t="s">
        <v>103</v>
      </c>
      <c r="C79" s="66">
        <v>86</v>
      </c>
      <c r="E79" s="67">
        <f>3500*5</f>
        <v>17500</v>
      </c>
      <c r="F79" s="66"/>
      <c r="G79" s="66"/>
      <c r="H79" s="40"/>
      <c r="I79" s="40"/>
      <c r="J79" s="40"/>
      <c r="K79" s="40"/>
      <c r="L79" s="497"/>
      <c r="M79" s="497"/>
      <c r="N79" s="497"/>
      <c r="O79" s="497"/>
      <c r="P79" s="497"/>
    </row>
    <row r="80" spans="1:16" s="32" customFormat="1" hidden="1" x14ac:dyDescent="0.25">
      <c r="A80" s="64" t="s">
        <v>14</v>
      </c>
      <c r="B80" s="65" t="s">
        <v>106</v>
      </c>
      <c r="C80" s="66">
        <v>86</v>
      </c>
      <c r="D80" s="68"/>
      <c r="E80" s="66">
        <v>9000</v>
      </c>
      <c r="F80" s="66"/>
      <c r="G80" s="66"/>
      <c r="H80" s="40"/>
      <c r="I80" s="40"/>
      <c r="J80" s="40"/>
      <c r="K80" s="40"/>
      <c r="L80" s="497"/>
      <c r="M80" s="497"/>
      <c r="N80" s="497"/>
      <c r="O80" s="497"/>
      <c r="P80" s="497"/>
    </row>
    <row r="81" spans="1:16" s="11" customFormat="1" hidden="1" x14ac:dyDescent="0.25">
      <c r="A81" s="64" t="s">
        <v>15</v>
      </c>
      <c r="B81" s="65" t="s">
        <v>107</v>
      </c>
      <c r="C81" s="66">
        <v>86</v>
      </c>
      <c r="D81" s="67">
        <v>500</v>
      </c>
      <c r="E81" s="66">
        <f>D81*5</f>
        <v>2500</v>
      </c>
      <c r="F81" s="66"/>
      <c r="G81" s="66"/>
      <c r="H81" s="40"/>
      <c r="I81" s="40"/>
      <c r="J81" s="40"/>
      <c r="K81" s="40"/>
      <c r="L81" s="497"/>
      <c r="M81" s="497"/>
      <c r="N81" s="497"/>
      <c r="O81" s="497"/>
      <c r="P81" s="497"/>
    </row>
    <row r="82" spans="1:16" s="11" customFormat="1" hidden="1" x14ac:dyDescent="0.25">
      <c r="A82" s="64" t="s">
        <v>16</v>
      </c>
      <c r="B82" s="65" t="s">
        <v>108</v>
      </c>
      <c r="C82" s="66">
        <v>86</v>
      </c>
      <c r="D82" s="67">
        <v>500</v>
      </c>
      <c r="E82" s="66">
        <f>D82*5</f>
        <v>2500</v>
      </c>
      <c r="F82" s="66"/>
      <c r="G82" s="66"/>
      <c r="H82" s="40"/>
      <c r="I82" s="40"/>
      <c r="J82" s="40"/>
      <c r="K82" s="40"/>
      <c r="L82" s="497"/>
      <c r="M82" s="497"/>
      <c r="N82" s="497"/>
      <c r="O82" s="497"/>
      <c r="P82" s="497"/>
    </row>
    <row r="83" spans="1:16" s="11" customFormat="1" hidden="1" x14ac:dyDescent="0.25">
      <c r="A83" s="64" t="s">
        <v>17</v>
      </c>
      <c r="B83" s="65" t="s">
        <v>109</v>
      </c>
      <c r="C83" s="66">
        <v>86</v>
      </c>
      <c r="D83" s="67">
        <v>500</v>
      </c>
      <c r="E83" s="66">
        <f>D83*5</f>
        <v>2500</v>
      </c>
      <c r="F83" s="66"/>
      <c r="G83" s="66"/>
      <c r="H83" s="40"/>
      <c r="I83" s="40"/>
      <c r="J83" s="40"/>
      <c r="K83" s="40"/>
      <c r="L83" s="497"/>
      <c r="M83" s="497"/>
      <c r="N83" s="497"/>
      <c r="O83" s="497"/>
      <c r="P83" s="497"/>
    </row>
    <row r="84" spans="1:16" s="11" customFormat="1" hidden="1" x14ac:dyDescent="0.25">
      <c r="A84" s="64" t="s">
        <v>18</v>
      </c>
      <c r="B84" s="65" t="s">
        <v>110</v>
      </c>
      <c r="C84" s="66">
        <v>86</v>
      </c>
      <c r="D84" s="67">
        <v>500</v>
      </c>
      <c r="E84" s="66">
        <f>D84*4</f>
        <v>2000</v>
      </c>
      <c r="F84" s="66"/>
      <c r="G84" s="66"/>
      <c r="H84" s="40"/>
      <c r="I84" s="40"/>
      <c r="J84" s="40"/>
      <c r="K84" s="40"/>
      <c r="L84" s="497"/>
      <c r="M84" s="497"/>
      <c r="N84" s="497"/>
      <c r="O84" s="497"/>
      <c r="P84" s="497"/>
    </row>
    <row r="85" spans="1:16" s="11" customFormat="1" hidden="1" x14ac:dyDescent="0.25">
      <c r="A85" s="64" t="s">
        <v>57</v>
      </c>
      <c r="B85" s="65" t="s">
        <v>111</v>
      </c>
      <c r="C85" s="66">
        <v>86</v>
      </c>
      <c r="D85" s="67">
        <v>10000</v>
      </c>
      <c r="E85" s="66">
        <f>D85*1.5</f>
        <v>15000</v>
      </c>
      <c r="F85" s="66"/>
      <c r="G85" s="66"/>
      <c r="H85" s="40"/>
      <c r="I85" s="40"/>
      <c r="J85" s="40"/>
      <c r="K85" s="40"/>
      <c r="L85" s="497"/>
      <c r="M85" s="497"/>
      <c r="N85" s="497"/>
      <c r="O85" s="497"/>
      <c r="P85" s="497"/>
    </row>
    <row r="86" spans="1:16" s="11" customFormat="1" hidden="1" x14ac:dyDescent="0.25">
      <c r="A86" s="64"/>
      <c r="B86" s="65"/>
      <c r="C86" s="66"/>
      <c r="D86" s="67"/>
      <c r="E86" s="67">
        <f>SUM(E79:E85)</f>
        <v>51000</v>
      </c>
      <c r="F86" s="66"/>
      <c r="G86" s="66">
        <f>E86-F86</f>
        <v>51000</v>
      </c>
      <c r="H86" s="40"/>
      <c r="I86" s="40"/>
      <c r="J86" s="40"/>
      <c r="K86" s="40"/>
      <c r="L86" s="497"/>
      <c r="M86" s="497"/>
      <c r="N86" s="497"/>
      <c r="O86" s="497"/>
      <c r="P86" s="497"/>
    </row>
    <row r="87" spans="1:16" s="11" customFormat="1" hidden="1" x14ac:dyDescent="0.25">
      <c r="A87" s="351"/>
      <c r="B87" s="7"/>
      <c r="C87" s="40"/>
      <c r="D87" s="58"/>
      <c r="E87" s="40"/>
      <c r="F87" s="40"/>
      <c r="G87" s="40"/>
      <c r="H87" s="40"/>
      <c r="I87" s="40"/>
      <c r="J87" s="40"/>
      <c r="K87" s="40"/>
      <c r="L87" s="497"/>
      <c r="M87" s="497"/>
      <c r="N87" s="497"/>
      <c r="O87" s="497"/>
      <c r="P87" s="497"/>
    </row>
    <row r="88" spans="1:16" s="11" customFormat="1" hidden="1" x14ac:dyDescent="0.25">
      <c r="A88" s="637" t="s">
        <v>680</v>
      </c>
      <c r="B88" s="637"/>
      <c r="C88" s="637"/>
      <c r="D88" s="637"/>
      <c r="E88" s="637"/>
      <c r="F88" s="637"/>
      <c r="G88" s="637"/>
      <c r="H88" s="40"/>
      <c r="I88" s="40"/>
      <c r="J88" s="40"/>
      <c r="K88" s="40"/>
      <c r="L88" s="497"/>
      <c r="M88" s="497"/>
      <c r="N88" s="497"/>
      <c r="O88" s="497"/>
      <c r="P88" s="497"/>
    </row>
    <row r="89" spans="1:16" s="11" customFormat="1" hidden="1" x14ac:dyDescent="0.25">
      <c r="A89" s="351"/>
      <c r="B89" s="7"/>
      <c r="C89" s="40"/>
      <c r="D89" s="58"/>
      <c r="E89" s="40"/>
      <c r="F89" s="40"/>
      <c r="G89" s="40"/>
      <c r="H89" s="40"/>
      <c r="I89" s="40"/>
      <c r="J89" s="40"/>
      <c r="K89" s="40"/>
      <c r="L89" s="497"/>
      <c r="M89" s="497"/>
      <c r="N89" s="497"/>
      <c r="O89" s="497"/>
      <c r="P89" s="497"/>
    </row>
    <row r="90" spans="1:16" s="11" customFormat="1" hidden="1" x14ac:dyDescent="0.25">
      <c r="A90" s="351"/>
      <c r="B90" s="7" t="s">
        <v>681</v>
      </c>
      <c r="C90" s="40"/>
      <c r="D90" s="58"/>
      <c r="E90" s="40"/>
      <c r="F90" s="40"/>
      <c r="G90" s="40"/>
      <c r="H90" s="40"/>
      <c r="I90" s="40"/>
      <c r="J90" s="40"/>
      <c r="K90" s="40"/>
      <c r="L90" s="497"/>
      <c r="M90" s="497"/>
      <c r="N90" s="497"/>
      <c r="O90" s="497"/>
      <c r="P90" s="497"/>
    </row>
    <row r="91" spans="1:16" s="11" customFormat="1" hidden="1" x14ac:dyDescent="0.25">
      <c r="A91" s="351"/>
      <c r="B91" s="7" t="s">
        <v>682</v>
      </c>
      <c r="C91" s="40"/>
      <c r="D91" s="58"/>
      <c r="E91" s="40"/>
      <c r="F91" s="40"/>
      <c r="G91" s="40"/>
      <c r="H91" s="40"/>
      <c r="I91" s="40"/>
      <c r="J91" s="40"/>
      <c r="K91" s="40"/>
      <c r="L91" s="497"/>
      <c r="M91" s="497"/>
      <c r="N91" s="497"/>
      <c r="O91" s="497"/>
      <c r="P91" s="497"/>
    </row>
    <row r="92" spans="1:16" s="11" customFormat="1" hidden="1" x14ac:dyDescent="0.25">
      <c r="A92" s="351"/>
      <c r="B92" s="7" t="s">
        <v>683</v>
      </c>
      <c r="C92" s="40"/>
      <c r="D92" s="58"/>
      <c r="E92" s="40"/>
      <c r="F92" s="40"/>
      <c r="G92" s="40"/>
      <c r="H92" s="40"/>
      <c r="I92" s="40"/>
      <c r="J92" s="40"/>
      <c r="K92" s="40"/>
      <c r="L92" s="497"/>
      <c r="M92" s="497"/>
      <c r="N92" s="497"/>
      <c r="O92" s="497"/>
      <c r="P92" s="497"/>
    </row>
    <row r="93" spans="1:16" s="11" customFormat="1" x14ac:dyDescent="0.25">
      <c r="A93" s="351"/>
      <c r="B93" s="7"/>
      <c r="C93" s="40"/>
      <c r="D93" s="58"/>
      <c r="E93" s="40"/>
      <c r="F93" s="40"/>
      <c r="G93" s="40"/>
      <c r="H93" s="40"/>
      <c r="I93" s="40"/>
      <c r="J93" s="40"/>
      <c r="K93" s="40"/>
      <c r="L93" s="497"/>
      <c r="M93" s="497"/>
      <c r="N93" s="497"/>
      <c r="O93" s="497"/>
      <c r="P93" s="497"/>
    </row>
    <row r="94" spans="1:16" s="11" customFormat="1" x14ac:dyDescent="0.25">
      <c r="A94" s="351"/>
      <c r="B94" s="7"/>
      <c r="C94" s="40"/>
      <c r="D94" s="58"/>
      <c r="E94" s="40"/>
      <c r="F94" s="40"/>
      <c r="G94" s="40"/>
      <c r="H94" s="40"/>
      <c r="I94" s="40"/>
      <c r="J94" s="40"/>
      <c r="K94" s="40"/>
      <c r="L94" s="497"/>
      <c r="M94" s="497"/>
      <c r="N94" s="497"/>
      <c r="O94" s="497"/>
      <c r="P94" s="497"/>
    </row>
    <row r="95" spans="1:16" s="11" customFormat="1" x14ac:dyDescent="0.25">
      <c r="A95" s="351"/>
      <c r="B95" s="7"/>
      <c r="C95" s="40"/>
      <c r="D95" s="58"/>
      <c r="E95" s="40"/>
      <c r="F95" s="40"/>
      <c r="G95" s="40"/>
      <c r="H95" s="40"/>
      <c r="I95" s="40"/>
      <c r="J95" s="40"/>
      <c r="K95" s="40"/>
      <c r="L95" s="497"/>
      <c r="M95" s="497"/>
      <c r="N95" s="497"/>
      <c r="O95" s="497"/>
      <c r="P95" s="497"/>
    </row>
    <row r="96" spans="1:16" s="11" customFormat="1" x14ac:dyDescent="0.25">
      <c r="A96" s="351"/>
      <c r="B96" s="7"/>
      <c r="C96" s="40"/>
      <c r="D96" s="58"/>
      <c r="E96" s="40"/>
      <c r="F96" s="40"/>
      <c r="G96" s="40"/>
      <c r="H96" s="40"/>
      <c r="I96" s="40"/>
      <c r="J96" s="40"/>
      <c r="K96" s="40"/>
      <c r="L96" s="497"/>
      <c r="M96" s="497"/>
      <c r="N96" s="497"/>
      <c r="O96" s="497"/>
      <c r="P96" s="497"/>
    </row>
    <row r="97" spans="1:16" s="11" customFormat="1" x14ac:dyDescent="0.25">
      <c r="A97" s="351"/>
      <c r="B97" s="7"/>
      <c r="C97" s="40"/>
      <c r="D97" s="58"/>
      <c r="E97" s="40"/>
      <c r="F97" s="40"/>
      <c r="G97" s="40"/>
      <c r="H97" s="40"/>
      <c r="I97" s="40"/>
      <c r="J97" s="40"/>
      <c r="K97" s="40"/>
      <c r="L97" s="497"/>
      <c r="M97" s="497"/>
      <c r="N97" s="497"/>
      <c r="O97" s="497"/>
      <c r="P97" s="497"/>
    </row>
    <row r="98" spans="1:16" s="11" customFormat="1" x14ac:dyDescent="0.25">
      <c r="A98" s="351"/>
      <c r="B98" s="7"/>
      <c r="C98" s="40"/>
      <c r="D98" s="58"/>
      <c r="E98" s="40"/>
      <c r="F98" s="40"/>
      <c r="G98" s="40"/>
      <c r="H98" s="40"/>
      <c r="I98" s="40"/>
      <c r="J98" s="40"/>
      <c r="K98" s="40"/>
      <c r="L98" s="497"/>
      <c r="M98" s="497"/>
      <c r="N98" s="497"/>
      <c r="O98" s="497"/>
      <c r="P98" s="497"/>
    </row>
    <row r="99" spans="1:16" s="11" customFormat="1" x14ac:dyDescent="0.25">
      <c r="A99" s="351"/>
      <c r="B99" s="7"/>
      <c r="C99" s="40"/>
      <c r="D99" s="58"/>
      <c r="E99" s="40"/>
      <c r="F99" s="40"/>
      <c r="G99" s="40"/>
      <c r="H99" s="40"/>
      <c r="I99" s="40"/>
      <c r="J99" s="40"/>
      <c r="K99" s="40"/>
      <c r="L99" s="497"/>
      <c r="M99" s="497"/>
      <c r="N99" s="497"/>
      <c r="O99" s="497"/>
      <c r="P99" s="497"/>
    </row>
    <row r="100" spans="1:16" s="11" customFormat="1" x14ac:dyDescent="0.25">
      <c r="A100" s="351"/>
      <c r="B100" s="7"/>
      <c r="C100" s="40"/>
      <c r="D100" s="58"/>
      <c r="E100" s="40"/>
      <c r="F100" s="40"/>
      <c r="G100" s="40"/>
      <c r="H100" s="40"/>
      <c r="I100" s="40"/>
      <c r="J100" s="40"/>
      <c r="K100" s="40"/>
      <c r="L100" s="497"/>
      <c r="M100" s="497"/>
      <c r="N100" s="497"/>
      <c r="O100" s="497"/>
      <c r="P100" s="497"/>
    </row>
    <row r="101" spans="1:16" s="11" customFormat="1" x14ac:dyDescent="0.25">
      <c r="A101" s="351"/>
      <c r="B101" s="7"/>
      <c r="C101" s="40"/>
      <c r="D101" s="58"/>
      <c r="E101" s="40"/>
      <c r="F101" s="40"/>
      <c r="G101" s="40"/>
      <c r="H101" s="40"/>
      <c r="I101" s="40"/>
      <c r="J101" s="40"/>
      <c r="K101" s="40"/>
      <c r="L101" s="497"/>
      <c r="M101" s="497"/>
      <c r="N101" s="497"/>
      <c r="O101" s="497"/>
      <c r="P101" s="497"/>
    </row>
    <row r="102" spans="1:16" s="11" customFormat="1" x14ac:dyDescent="0.25">
      <c r="A102" s="351"/>
      <c r="B102" s="7"/>
      <c r="C102" s="40"/>
      <c r="D102" s="58"/>
      <c r="E102" s="40"/>
      <c r="F102" s="40"/>
      <c r="G102" s="40"/>
      <c r="H102" s="40"/>
      <c r="I102" s="40"/>
      <c r="J102" s="40"/>
      <c r="K102" s="40"/>
      <c r="L102" s="497"/>
      <c r="M102" s="497"/>
      <c r="N102" s="497"/>
      <c r="O102" s="497"/>
      <c r="P102" s="497"/>
    </row>
    <row r="103" spans="1:16" s="11" customFormat="1" x14ac:dyDescent="0.25">
      <c r="A103" s="351"/>
      <c r="B103" s="7"/>
      <c r="C103" s="40"/>
      <c r="D103" s="58"/>
      <c r="E103" s="40"/>
      <c r="F103" s="40"/>
      <c r="G103" s="40"/>
      <c r="H103" s="40"/>
      <c r="I103" s="40"/>
      <c r="J103" s="40"/>
      <c r="K103" s="40"/>
      <c r="L103" s="497"/>
      <c r="M103" s="497"/>
      <c r="N103" s="497"/>
      <c r="O103" s="497"/>
      <c r="P103" s="497"/>
    </row>
    <row r="104" spans="1:16" s="11" customFormat="1" x14ac:dyDescent="0.25">
      <c r="A104" s="351"/>
      <c r="B104" s="7"/>
      <c r="C104" s="40"/>
      <c r="D104" s="58"/>
      <c r="E104" s="40"/>
      <c r="F104" s="40"/>
      <c r="G104" s="40"/>
      <c r="H104" s="40"/>
      <c r="I104" s="40"/>
      <c r="J104" s="40"/>
      <c r="K104" s="40"/>
      <c r="L104" s="497"/>
      <c r="M104" s="497"/>
      <c r="N104" s="497"/>
      <c r="O104" s="497"/>
      <c r="P104" s="497"/>
    </row>
    <row r="105" spans="1:16" s="11" customFormat="1" x14ac:dyDescent="0.25">
      <c r="A105" s="351"/>
      <c r="B105" s="7"/>
      <c r="C105" s="40"/>
      <c r="D105" s="58"/>
      <c r="E105" s="40"/>
      <c r="F105" s="40"/>
      <c r="G105" s="40"/>
      <c r="H105" s="40"/>
      <c r="I105" s="40"/>
      <c r="J105" s="40"/>
      <c r="K105" s="40"/>
      <c r="L105" s="497"/>
      <c r="M105" s="497"/>
      <c r="N105" s="497"/>
      <c r="O105" s="497"/>
      <c r="P105" s="497"/>
    </row>
    <row r="106" spans="1:16" s="11" customFormat="1" x14ac:dyDescent="0.25">
      <c r="A106" s="351"/>
      <c r="B106" s="7"/>
      <c r="C106" s="40"/>
      <c r="D106" s="58"/>
      <c r="E106" s="40"/>
      <c r="F106" s="40"/>
      <c r="G106" s="40"/>
      <c r="H106" s="40"/>
      <c r="I106" s="40"/>
      <c r="J106" s="40"/>
      <c r="K106" s="40"/>
      <c r="L106" s="497"/>
      <c r="M106" s="497"/>
      <c r="N106" s="497"/>
      <c r="O106" s="497"/>
      <c r="P106" s="497"/>
    </row>
    <row r="107" spans="1:16" s="11" customFormat="1" x14ac:dyDescent="0.25">
      <c r="A107" s="351"/>
      <c r="B107" s="7"/>
      <c r="C107" s="40"/>
      <c r="D107" s="58"/>
      <c r="E107" s="40"/>
      <c r="F107" s="40"/>
      <c r="G107" s="40"/>
      <c r="H107" s="40"/>
      <c r="I107" s="40"/>
      <c r="J107" s="40"/>
      <c r="K107" s="40"/>
      <c r="L107" s="497"/>
      <c r="M107" s="497"/>
      <c r="N107" s="497"/>
      <c r="O107" s="497"/>
      <c r="P107" s="497"/>
    </row>
    <row r="108" spans="1:16" s="11" customFormat="1" x14ac:dyDescent="0.25">
      <c r="A108" s="351"/>
      <c r="B108" s="7"/>
      <c r="C108" s="40"/>
      <c r="D108" s="58"/>
      <c r="E108" s="40"/>
      <c r="F108" s="40"/>
      <c r="G108" s="40"/>
      <c r="H108" s="40"/>
      <c r="I108" s="40"/>
      <c r="J108" s="40"/>
      <c r="K108" s="40"/>
      <c r="L108" s="497"/>
      <c r="M108" s="497"/>
      <c r="N108" s="497"/>
      <c r="O108" s="497"/>
      <c r="P108" s="497"/>
    </row>
    <row r="109" spans="1:16" s="11" customFormat="1" x14ac:dyDescent="0.25">
      <c r="A109" s="351"/>
      <c r="B109" s="7"/>
      <c r="C109" s="40"/>
      <c r="D109" s="58"/>
      <c r="E109" s="40"/>
      <c r="F109" s="40"/>
      <c r="G109" s="40"/>
      <c r="H109" s="40"/>
      <c r="I109" s="40"/>
      <c r="J109" s="40"/>
      <c r="K109" s="40"/>
      <c r="L109" s="497"/>
      <c r="M109" s="497"/>
      <c r="N109" s="497"/>
      <c r="O109" s="497"/>
      <c r="P109" s="497"/>
    </row>
    <row r="110" spans="1:16" s="11" customFormat="1" x14ac:dyDescent="0.25">
      <c r="A110" s="351"/>
      <c r="B110" s="7"/>
      <c r="C110" s="40"/>
      <c r="D110" s="58"/>
      <c r="E110" s="40"/>
      <c r="F110" s="40"/>
      <c r="G110" s="40"/>
      <c r="H110" s="40"/>
      <c r="I110" s="40"/>
      <c r="J110" s="40"/>
      <c r="K110" s="40"/>
      <c r="L110" s="497"/>
      <c r="M110" s="497"/>
      <c r="N110" s="497"/>
      <c r="O110" s="497"/>
      <c r="P110" s="497"/>
    </row>
    <row r="111" spans="1:16" s="11" customFormat="1" x14ac:dyDescent="0.25">
      <c r="A111" s="351"/>
      <c r="B111" s="7"/>
      <c r="C111" s="40"/>
      <c r="D111" s="58"/>
      <c r="E111" s="40"/>
      <c r="F111" s="40"/>
      <c r="G111" s="40"/>
      <c r="H111" s="40"/>
      <c r="I111" s="40"/>
      <c r="J111" s="40"/>
      <c r="K111" s="40"/>
      <c r="L111" s="497"/>
      <c r="M111" s="497"/>
      <c r="N111" s="497"/>
      <c r="O111" s="497"/>
      <c r="P111" s="497"/>
    </row>
    <row r="112" spans="1:16" s="11" customFormat="1" x14ac:dyDescent="0.25">
      <c r="A112" s="351"/>
      <c r="B112" s="7"/>
      <c r="C112" s="40"/>
      <c r="D112" s="58"/>
      <c r="E112" s="40"/>
      <c r="F112" s="40"/>
      <c r="G112" s="40"/>
      <c r="H112" s="40"/>
      <c r="I112" s="40"/>
      <c r="J112" s="40"/>
      <c r="K112" s="40"/>
      <c r="L112" s="497"/>
      <c r="M112" s="497"/>
      <c r="N112" s="497"/>
      <c r="O112" s="497"/>
      <c r="P112" s="497"/>
    </row>
    <row r="113" spans="1:16" s="11" customFormat="1" x14ac:dyDescent="0.25">
      <c r="A113" s="351"/>
      <c r="B113" s="7"/>
      <c r="C113" s="40"/>
      <c r="D113" s="58"/>
      <c r="E113" s="40"/>
      <c r="F113" s="40"/>
      <c r="G113" s="40"/>
      <c r="H113" s="40"/>
      <c r="I113" s="40"/>
      <c r="J113" s="40"/>
      <c r="K113" s="40"/>
      <c r="L113" s="497"/>
      <c r="M113" s="497"/>
      <c r="N113" s="497"/>
      <c r="O113" s="497"/>
      <c r="P113" s="497"/>
    </row>
    <row r="114" spans="1:16" s="11" customFormat="1" x14ac:dyDescent="0.25">
      <c r="A114" s="351"/>
      <c r="B114" s="7"/>
      <c r="C114" s="40"/>
      <c r="D114" s="58"/>
      <c r="E114" s="40"/>
      <c r="F114" s="40"/>
      <c r="G114" s="40"/>
      <c r="H114" s="40"/>
      <c r="I114" s="40"/>
      <c r="J114" s="40"/>
      <c r="K114" s="40"/>
      <c r="L114" s="497"/>
      <c r="M114" s="497"/>
      <c r="N114" s="497"/>
      <c r="O114" s="497"/>
      <c r="P114" s="497"/>
    </row>
    <row r="115" spans="1:16" s="11" customFormat="1" x14ac:dyDescent="0.25">
      <c r="A115" s="351"/>
      <c r="B115" s="7"/>
      <c r="C115" s="40"/>
      <c r="D115" s="58"/>
      <c r="E115" s="40"/>
      <c r="F115" s="40"/>
      <c r="G115" s="40"/>
      <c r="H115" s="40"/>
      <c r="I115" s="40"/>
      <c r="J115" s="40"/>
      <c r="K115" s="40"/>
      <c r="L115" s="497"/>
      <c r="M115" s="497"/>
      <c r="N115" s="497"/>
      <c r="O115" s="497"/>
      <c r="P115" s="497"/>
    </row>
    <row r="116" spans="1:16" s="11" customFormat="1" x14ac:dyDescent="0.25">
      <c r="A116" s="351"/>
      <c r="B116" s="7"/>
      <c r="C116" s="40"/>
      <c r="D116" s="58"/>
      <c r="E116" s="40"/>
      <c r="F116" s="40"/>
      <c r="G116" s="40"/>
      <c r="H116" s="40"/>
      <c r="I116" s="40"/>
      <c r="J116" s="40"/>
      <c r="K116" s="40"/>
      <c r="L116" s="497"/>
      <c r="M116" s="497"/>
      <c r="N116" s="497"/>
      <c r="O116" s="497"/>
      <c r="P116" s="497"/>
    </row>
    <row r="117" spans="1:16" s="11" customFormat="1" x14ac:dyDescent="0.25">
      <c r="A117" s="351"/>
      <c r="B117" s="7"/>
      <c r="C117" s="40"/>
      <c r="D117" s="58"/>
      <c r="E117" s="40"/>
      <c r="F117" s="40"/>
      <c r="G117" s="40"/>
      <c r="H117" s="40"/>
      <c r="I117" s="40"/>
      <c r="J117" s="40"/>
      <c r="K117" s="40"/>
      <c r="L117" s="497"/>
      <c r="M117" s="497"/>
      <c r="N117" s="497"/>
      <c r="O117" s="497"/>
      <c r="P117" s="497"/>
    </row>
    <row r="118" spans="1:16" s="11" customFormat="1" x14ac:dyDescent="0.25">
      <c r="A118" s="351"/>
      <c r="B118" s="7"/>
      <c r="C118" s="40"/>
      <c r="D118" s="58"/>
      <c r="E118" s="40"/>
      <c r="F118" s="40"/>
      <c r="G118" s="40"/>
      <c r="H118" s="40"/>
      <c r="I118" s="40"/>
      <c r="J118" s="40"/>
      <c r="K118" s="40"/>
      <c r="L118" s="497"/>
      <c r="M118" s="497"/>
      <c r="N118" s="497"/>
      <c r="O118" s="497"/>
      <c r="P118" s="497"/>
    </row>
    <row r="119" spans="1:16" s="11" customFormat="1" x14ac:dyDescent="0.25">
      <c r="A119" s="351"/>
      <c r="B119" s="7"/>
      <c r="C119" s="40"/>
      <c r="D119" s="58"/>
      <c r="E119" s="40"/>
      <c r="F119" s="40"/>
      <c r="G119" s="40"/>
      <c r="H119" s="40"/>
      <c r="I119" s="40"/>
      <c r="J119" s="40"/>
      <c r="K119" s="40"/>
      <c r="L119" s="497"/>
      <c r="M119" s="497"/>
      <c r="N119" s="497"/>
      <c r="O119" s="497"/>
      <c r="P119" s="497"/>
    </row>
    <row r="120" spans="1:16" s="11" customFormat="1" x14ac:dyDescent="0.25">
      <c r="A120" s="351"/>
      <c r="B120" s="7"/>
      <c r="C120" s="40"/>
      <c r="D120" s="58"/>
      <c r="E120" s="40"/>
      <c r="F120" s="40"/>
      <c r="G120" s="40"/>
      <c r="H120" s="40"/>
      <c r="I120" s="40"/>
      <c r="J120" s="40"/>
      <c r="K120" s="40"/>
      <c r="L120" s="497"/>
      <c r="M120" s="497"/>
      <c r="N120" s="497"/>
      <c r="O120" s="497"/>
      <c r="P120" s="497"/>
    </row>
    <row r="121" spans="1:16" s="11" customFormat="1" x14ac:dyDescent="0.25">
      <c r="A121" s="351"/>
      <c r="B121" s="7"/>
      <c r="C121" s="40"/>
      <c r="D121" s="58"/>
      <c r="E121" s="40"/>
      <c r="F121" s="40"/>
      <c r="G121" s="40"/>
      <c r="H121" s="40"/>
      <c r="I121" s="40"/>
      <c r="J121" s="40"/>
      <c r="K121" s="40"/>
      <c r="L121" s="497"/>
      <c r="M121" s="497"/>
      <c r="N121" s="497"/>
      <c r="O121" s="497"/>
      <c r="P121" s="497"/>
    </row>
    <row r="122" spans="1:16" hidden="1" x14ac:dyDescent="0.25"/>
    <row r="123" spans="1:16" hidden="1" x14ac:dyDescent="0.25"/>
    <row r="124" spans="1:16" hidden="1" x14ac:dyDescent="0.25"/>
    <row r="125" spans="1:16" hidden="1" x14ac:dyDescent="0.25"/>
    <row r="126" spans="1:16" hidden="1" x14ac:dyDescent="0.25"/>
    <row r="127" spans="1:16" hidden="1" x14ac:dyDescent="0.25"/>
    <row r="128" spans="1:16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</sheetData>
  <mergeCells count="9">
    <mergeCell ref="B1:P1"/>
    <mergeCell ref="L2:O2"/>
    <mergeCell ref="A58:B58"/>
    <mergeCell ref="A64:B64"/>
    <mergeCell ref="A71:G71"/>
    <mergeCell ref="A88:G88"/>
    <mergeCell ref="L3:L7"/>
    <mergeCell ref="M3:M7"/>
    <mergeCell ref="N3:N7"/>
  </mergeCells>
  <printOptions horizontalCentered="1"/>
  <pageMargins left="0.11811023622047245" right="0.11811023622047245" top="0.15748031496062992" bottom="0.15748031496062992" header="0" footer="0"/>
  <pageSetup paperSize="9" scale="89" orientation="landscape" r:id="rId1"/>
  <rowBreaks count="3" manualBreakCount="3">
    <brk id="21" max="15" man="1"/>
    <brk id="40" max="15" man="1"/>
    <brk id="70" max="15" man="1"/>
  </rowBreaks>
  <colBreaks count="2" manualBreakCount="2">
    <brk id="1" max="90" man="1"/>
    <brk id="1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zoomScale="80" zoomScaleNormal="80" workbookViewId="0">
      <selection activeCell="L64" sqref="L64"/>
    </sheetView>
  </sheetViews>
  <sheetFormatPr defaultRowHeight="15.75" x14ac:dyDescent="0.25"/>
  <cols>
    <col min="1" max="1" width="13.5703125" style="81" customWidth="1"/>
    <col min="2" max="2" width="14" style="80" customWidth="1"/>
    <col min="3" max="4" width="8.28515625" style="81" customWidth="1"/>
    <col min="5" max="5" width="12" style="81" customWidth="1"/>
    <col min="6" max="6" width="32.140625" style="80" customWidth="1"/>
    <col min="7" max="7" width="9" style="80" customWidth="1"/>
    <col min="8" max="8" width="8.5703125" style="80" customWidth="1"/>
    <col min="9" max="9" width="12.28515625" style="81" customWidth="1"/>
    <col min="10" max="10" width="20.5703125" style="81" customWidth="1"/>
    <col min="11" max="11" width="30.7109375" style="80" customWidth="1"/>
    <col min="12" max="12" width="14.42578125" style="89" customWidth="1"/>
    <col min="13" max="13" width="18.5703125" style="80" customWidth="1"/>
    <col min="14" max="14" width="16" style="82" customWidth="1"/>
    <col min="15" max="16384" width="9.140625" style="80"/>
  </cols>
  <sheetData>
    <row r="1" spans="1:14" ht="31.5" x14ac:dyDescent="0.25">
      <c r="A1" s="90" t="s">
        <v>117</v>
      </c>
      <c r="B1" s="90" t="s">
        <v>118</v>
      </c>
      <c r="C1" s="90" t="s">
        <v>119</v>
      </c>
      <c r="D1" s="90" t="s">
        <v>120</v>
      </c>
      <c r="E1" s="90" t="s">
        <v>121</v>
      </c>
      <c r="F1" s="90" t="s">
        <v>126</v>
      </c>
      <c r="G1" s="90" t="s">
        <v>131</v>
      </c>
      <c r="H1" s="90" t="s">
        <v>119</v>
      </c>
      <c r="I1" s="90" t="s">
        <v>122</v>
      </c>
      <c r="J1" s="90" t="s">
        <v>133</v>
      </c>
      <c r="K1" s="90" t="s">
        <v>126</v>
      </c>
      <c r="L1" s="99" t="s">
        <v>123</v>
      </c>
      <c r="M1" s="90" t="s">
        <v>176</v>
      </c>
      <c r="N1" s="90" t="s">
        <v>143</v>
      </c>
    </row>
    <row r="2" spans="1:14" ht="49.5" customHeight="1" x14ac:dyDescent="0.25">
      <c r="A2" s="93">
        <v>42025</v>
      </c>
      <c r="B2" s="90"/>
      <c r="C2" s="90"/>
      <c r="D2" s="90"/>
      <c r="E2" s="90"/>
      <c r="F2" s="91"/>
      <c r="G2" s="90"/>
      <c r="H2" s="90"/>
      <c r="I2" s="90">
        <v>5168</v>
      </c>
      <c r="J2" s="90" t="s">
        <v>182</v>
      </c>
      <c r="K2" s="91" t="s">
        <v>183</v>
      </c>
      <c r="L2" s="99">
        <f>I2</f>
        <v>5168</v>
      </c>
      <c r="M2" s="90" t="s">
        <v>184</v>
      </c>
      <c r="N2" s="90">
        <v>92</v>
      </c>
    </row>
    <row r="3" spans="1:14" ht="49.5" customHeight="1" x14ac:dyDescent="0.25">
      <c r="A3" s="93">
        <v>42061</v>
      </c>
      <c r="B3" s="90" t="s">
        <v>186</v>
      </c>
      <c r="C3" s="90">
        <v>246</v>
      </c>
      <c r="D3" s="90">
        <v>1</v>
      </c>
      <c r="E3" s="90">
        <f>C3*D3</f>
        <v>246</v>
      </c>
      <c r="F3" s="91" t="s">
        <v>185</v>
      </c>
      <c r="G3" s="90"/>
      <c r="H3" s="90"/>
      <c r="I3" s="90"/>
      <c r="J3" s="90"/>
      <c r="K3" s="91"/>
      <c r="L3" s="99">
        <f>E3</f>
        <v>246</v>
      </c>
      <c r="M3" s="90" t="s">
        <v>184</v>
      </c>
      <c r="N3" s="90" t="s">
        <v>144</v>
      </c>
    </row>
    <row r="4" spans="1:14" ht="49.5" customHeight="1" x14ac:dyDescent="0.25">
      <c r="A4" s="93">
        <v>42082</v>
      </c>
      <c r="B4" s="90" t="s">
        <v>125</v>
      </c>
      <c r="C4" s="90"/>
      <c r="D4" s="90"/>
      <c r="E4" s="90">
        <v>2100</v>
      </c>
      <c r="F4" s="91" t="s">
        <v>203</v>
      </c>
      <c r="G4" s="90"/>
      <c r="H4" s="90"/>
      <c r="I4" s="90"/>
      <c r="J4" s="90"/>
      <c r="K4" s="91"/>
      <c r="L4" s="99">
        <f>E4</f>
        <v>2100</v>
      </c>
      <c r="M4" s="90" t="s">
        <v>26</v>
      </c>
      <c r="N4" s="90">
        <v>90</v>
      </c>
    </row>
    <row r="5" spans="1:14" ht="49.5" customHeight="1" x14ac:dyDescent="0.25">
      <c r="A5" s="93">
        <v>42109</v>
      </c>
      <c r="B5" s="90" t="s">
        <v>125</v>
      </c>
      <c r="C5" s="90"/>
      <c r="D5" s="90"/>
      <c r="E5" s="90">
        <v>8434.1299999999992</v>
      </c>
      <c r="F5" s="91" t="s">
        <v>218</v>
      </c>
      <c r="G5" s="90"/>
      <c r="H5" s="90"/>
      <c r="I5" s="90"/>
      <c r="J5" s="90"/>
      <c r="K5" s="91"/>
      <c r="L5" s="99">
        <f>E5</f>
        <v>8434.1299999999992</v>
      </c>
      <c r="M5" s="90" t="s">
        <v>26</v>
      </c>
      <c r="N5" s="90">
        <v>90</v>
      </c>
    </row>
    <row r="6" spans="1:14" ht="63" x14ac:dyDescent="0.25">
      <c r="A6" s="90" t="s">
        <v>150</v>
      </c>
      <c r="B6" s="90" t="s">
        <v>125</v>
      </c>
      <c r="C6" s="90"/>
      <c r="D6" s="90"/>
      <c r="E6" s="90">
        <v>5228</v>
      </c>
      <c r="F6" s="91" t="s">
        <v>127</v>
      </c>
      <c r="G6" s="90"/>
      <c r="H6" s="90"/>
      <c r="I6" s="90"/>
      <c r="J6" s="90"/>
      <c r="K6" s="91"/>
      <c r="L6" s="94">
        <f>E6</f>
        <v>5228</v>
      </c>
      <c r="M6" s="90" t="s">
        <v>34</v>
      </c>
      <c r="N6" s="90" t="s">
        <v>144</v>
      </c>
    </row>
    <row r="7" spans="1:14" ht="47.25" x14ac:dyDescent="0.25">
      <c r="A7" s="90" t="s">
        <v>150</v>
      </c>
      <c r="B7" s="90" t="s">
        <v>125</v>
      </c>
      <c r="C7" s="90"/>
      <c r="D7" s="90"/>
      <c r="E7" s="90">
        <v>8614.86</v>
      </c>
      <c r="F7" s="91" t="s">
        <v>168</v>
      </c>
      <c r="G7" s="90"/>
      <c r="H7" s="90"/>
      <c r="I7" s="90"/>
      <c r="J7" s="90"/>
      <c r="K7" s="91"/>
      <c r="L7" s="94">
        <f>E7</f>
        <v>8614.86</v>
      </c>
      <c r="M7" s="90" t="s">
        <v>42</v>
      </c>
      <c r="N7" s="90" t="s">
        <v>144</v>
      </c>
    </row>
    <row r="8" spans="1:14" ht="31.5" x14ac:dyDescent="0.25">
      <c r="A8" s="90" t="s">
        <v>137</v>
      </c>
      <c r="B8" s="90"/>
      <c r="C8" s="90"/>
      <c r="D8" s="90"/>
      <c r="E8" s="90"/>
      <c r="F8" s="91"/>
      <c r="G8" s="90"/>
      <c r="H8" s="90"/>
      <c r="I8" s="90">
        <v>2790</v>
      </c>
      <c r="J8" s="90" t="s">
        <v>135</v>
      </c>
      <c r="K8" s="91" t="s">
        <v>132</v>
      </c>
      <c r="L8" s="94">
        <f>I8</f>
        <v>2790</v>
      </c>
      <c r="M8" s="90" t="s">
        <v>42</v>
      </c>
      <c r="N8" s="90" t="s">
        <v>144</v>
      </c>
    </row>
    <row r="9" spans="1:14" ht="47.25" x14ac:dyDescent="0.25">
      <c r="A9" s="90" t="s">
        <v>172</v>
      </c>
      <c r="B9" s="90" t="s">
        <v>125</v>
      </c>
      <c r="C9" s="90"/>
      <c r="D9" s="90"/>
      <c r="E9" s="90">
        <v>17336.8</v>
      </c>
      <c r="F9" s="91" t="s">
        <v>173</v>
      </c>
      <c r="G9" s="90"/>
      <c r="H9" s="90"/>
      <c r="I9" s="90"/>
      <c r="J9" s="90"/>
      <c r="K9" s="91"/>
      <c r="L9" s="94">
        <f>E9</f>
        <v>17336.8</v>
      </c>
      <c r="M9" s="90" t="s">
        <v>24</v>
      </c>
      <c r="N9" s="90" t="s">
        <v>144</v>
      </c>
    </row>
    <row r="10" spans="1:14" ht="47.25" x14ac:dyDescent="0.25">
      <c r="A10" s="90" t="s">
        <v>172</v>
      </c>
      <c r="B10" s="90" t="s">
        <v>125</v>
      </c>
      <c r="C10" s="90"/>
      <c r="D10" s="90"/>
      <c r="E10" s="90">
        <v>1903.6</v>
      </c>
      <c r="F10" s="91" t="s">
        <v>202</v>
      </c>
      <c r="G10" s="90"/>
      <c r="H10" s="90"/>
      <c r="I10" s="90"/>
      <c r="J10" s="90"/>
      <c r="K10" s="91"/>
      <c r="L10" s="99">
        <v>2126</v>
      </c>
      <c r="M10" s="90" t="s">
        <v>26</v>
      </c>
      <c r="N10" s="90" t="s">
        <v>144</v>
      </c>
    </row>
    <row r="11" spans="1:14" ht="63" x14ac:dyDescent="0.25">
      <c r="A11" s="93">
        <v>42047</v>
      </c>
      <c r="B11" s="90" t="s">
        <v>125</v>
      </c>
      <c r="C11" s="90">
        <v>780</v>
      </c>
      <c r="D11" s="90">
        <v>2</v>
      </c>
      <c r="E11" s="90">
        <f>C11*D11</f>
        <v>1560</v>
      </c>
      <c r="F11" s="91" t="s">
        <v>129</v>
      </c>
      <c r="G11" s="91"/>
      <c r="H11" s="91"/>
      <c r="I11" s="90"/>
      <c r="J11" s="91"/>
      <c r="K11" s="91"/>
      <c r="L11" s="94">
        <f>E11+I11</f>
        <v>1560</v>
      </c>
      <c r="M11" s="90" t="s">
        <v>35</v>
      </c>
      <c r="N11" s="90" t="s">
        <v>151</v>
      </c>
    </row>
    <row r="12" spans="1:14" ht="34.5" customHeight="1" x14ac:dyDescent="0.25">
      <c r="A12" s="97" t="s">
        <v>145</v>
      </c>
      <c r="B12" s="90"/>
      <c r="C12" s="90"/>
      <c r="D12" s="90"/>
      <c r="E12" s="90"/>
      <c r="F12" s="639"/>
      <c r="G12" s="90"/>
      <c r="H12" s="90"/>
      <c r="I12" s="90">
        <f>5250+24150</f>
        <v>29400</v>
      </c>
      <c r="J12" s="90" t="s">
        <v>146</v>
      </c>
      <c r="K12" s="639" t="s">
        <v>148</v>
      </c>
      <c r="L12" s="94">
        <f>I12</f>
        <v>29400</v>
      </c>
      <c r="M12" s="90" t="s">
        <v>20</v>
      </c>
      <c r="N12" s="640" t="s">
        <v>144</v>
      </c>
    </row>
    <row r="13" spans="1:14" ht="30" customHeight="1" x14ac:dyDescent="0.25">
      <c r="A13" s="97">
        <v>42309</v>
      </c>
      <c r="B13" s="90"/>
      <c r="C13" s="90"/>
      <c r="D13" s="90"/>
      <c r="E13" s="90"/>
      <c r="F13" s="639"/>
      <c r="G13" s="90">
        <v>38</v>
      </c>
      <c r="H13" s="90">
        <v>280</v>
      </c>
      <c r="I13" s="90">
        <f>G13*H13</f>
        <v>10640</v>
      </c>
      <c r="J13" s="640" t="s">
        <v>134</v>
      </c>
      <c r="K13" s="639"/>
      <c r="L13" s="641">
        <f>I13+I14</f>
        <v>86800</v>
      </c>
      <c r="M13" s="640" t="s">
        <v>20</v>
      </c>
      <c r="N13" s="640"/>
    </row>
    <row r="14" spans="1:14" ht="30" customHeight="1" x14ac:dyDescent="0.25">
      <c r="A14" s="97">
        <v>42339</v>
      </c>
      <c r="B14" s="90"/>
      <c r="C14" s="90"/>
      <c r="D14" s="90"/>
      <c r="E14" s="90"/>
      <c r="F14" s="639"/>
      <c r="G14" s="90">
        <v>272</v>
      </c>
      <c r="H14" s="90">
        <v>280</v>
      </c>
      <c r="I14" s="90">
        <f>G14*H14</f>
        <v>76160</v>
      </c>
      <c r="J14" s="640"/>
      <c r="K14" s="639"/>
      <c r="L14" s="641"/>
      <c r="M14" s="640"/>
      <c r="N14" s="640"/>
    </row>
    <row r="15" spans="1:14" ht="30" customHeight="1" x14ac:dyDescent="0.25">
      <c r="A15" s="93">
        <v>42200</v>
      </c>
      <c r="B15" s="90"/>
      <c r="C15" s="90"/>
      <c r="D15" s="90"/>
      <c r="E15" s="90"/>
      <c r="F15" s="96"/>
      <c r="G15" s="90"/>
      <c r="H15" s="90"/>
      <c r="I15" s="90">
        <v>18078</v>
      </c>
      <c r="J15" s="90" t="s">
        <v>158</v>
      </c>
      <c r="K15" s="96" t="s">
        <v>159</v>
      </c>
      <c r="L15" s="99">
        <f>I15</f>
        <v>18078</v>
      </c>
      <c r="M15" s="90" t="s">
        <v>26</v>
      </c>
      <c r="N15" s="90">
        <v>90</v>
      </c>
    </row>
    <row r="16" spans="1:14" ht="30" customHeight="1" x14ac:dyDescent="0.25">
      <c r="A16" s="93">
        <v>42126</v>
      </c>
      <c r="B16" s="90" t="s">
        <v>125</v>
      </c>
      <c r="C16" s="90"/>
      <c r="D16" s="90"/>
      <c r="E16" s="90">
        <v>1055</v>
      </c>
      <c r="F16" s="96" t="s">
        <v>205</v>
      </c>
      <c r="G16" s="90"/>
      <c r="H16" s="90"/>
      <c r="I16" s="90"/>
      <c r="J16" s="90"/>
      <c r="K16" s="96"/>
      <c r="L16" s="99">
        <f t="shared" ref="L16:L22" si="0">E16</f>
        <v>1055</v>
      </c>
      <c r="M16" s="90" t="s">
        <v>26</v>
      </c>
      <c r="N16" s="90">
        <v>90</v>
      </c>
    </row>
    <row r="17" spans="1:14" ht="30" customHeight="1" x14ac:dyDescent="0.25">
      <c r="A17" s="93">
        <v>42128</v>
      </c>
      <c r="B17" s="90" t="s">
        <v>125</v>
      </c>
      <c r="C17" s="90"/>
      <c r="D17" s="90"/>
      <c r="E17" s="90">
        <v>5445</v>
      </c>
      <c r="F17" s="96" t="s">
        <v>206</v>
      </c>
      <c r="G17" s="90"/>
      <c r="H17" s="90"/>
      <c r="I17" s="90"/>
      <c r="J17" s="90"/>
      <c r="K17" s="96"/>
      <c r="L17" s="99">
        <f t="shared" si="0"/>
        <v>5445</v>
      </c>
      <c r="M17" s="90" t="s">
        <v>26</v>
      </c>
      <c r="N17" s="90">
        <v>90</v>
      </c>
    </row>
    <row r="18" spans="1:14" ht="30" customHeight="1" x14ac:dyDescent="0.25">
      <c r="A18" s="93">
        <v>42145</v>
      </c>
      <c r="B18" s="90" t="s">
        <v>125</v>
      </c>
      <c r="C18" s="90"/>
      <c r="D18" s="90"/>
      <c r="E18" s="90">
        <v>2550</v>
      </c>
      <c r="F18" s="96" t="s">
        <v>206</v>
      </c>
      <c r="G18" s="90"/>
      <c r="H18" s="90"/>
      <c r="I18" s="90"/>
      <c r="J18" s="90"/>
      <c r="K18" s="96"/>
      <c r="L18" s="99">
        <f t="shared" si="0"/>
        <v>2550</v>
      </c>
      <c r="M18" s="90" t="s">
        <v>26</v>
      </c>
      <c r="N18" s="90">
        <v>92</v>
      </c>
    </row>
    <row r="19" spans="1:14" ht="30" customHeight="1" x14ac:dyDescent="0.25">
      <c r="A19" s="93">
        <v>42150</v>
      </c>
      <c r="B19" s="90" t="s">
        <v>125</v>
      </c>
      <c r="C19" s="90"/>
      <c r="D19" s="90"/>
      <c r="E19" s="90">
        <v>220</v>
      </c>
      <c r="F19" s="96" t="s">
        <v>207</v>
      </c>
      <c r="G19" s="90"/>
      <c r="H19" s="90"/>
      <c r="I19" s="90"/>
      <c r="J19" s="90"/>
      <c r="K19" s="96"/>
      <c r="L19" s="99">
        <f t="shared" si="0"/>
        <v>220</v>
      </c>
      <c r="M19" s="90" t="s">
        <v>26</v>
      </c>
      <c r="N19" s="90">
        <v>92</v>
      </c>
    </row>
    <row r="20" spans="1:14" ht="30" customHeight="1" x14ac:dyDescent="0.25">
      <c r="A20" s="93">
        <v>42151</v>
      </c>
      <c r="B20" s="90" t="s">
        <v>125</v>
      </c>
      <c r="C20" s="90"/>
      <c r="D20" s="90"/>
      <c r="E20" s="90">
        <v>1860</v>
      </c>
      <c r="F20" s="96" t="s">
        <v>208</v>
      </c>
      <c r="G20" s="90"/>
      <c r="H20" s="90"/>
      <c r="I20" s="90"/>
      <c r="J20" s="90"/>
      <c r="K20" s="96"/>
      <c r="L20" s="99">
        <f t="shared" si="0"/>
        <v>1860</v>
      </c>
      <c r="M20" s="90" t="s">
        <v>26</v>
      </c>
      <c r="N20" s="90">
        <v>92</v>
      </c>
    </row>
    <row r="21" spans="1:14" ht="30" customHeight="1" x14ac:dyDescent="0.25">
      <c r="A21" s="93">
        <v>42154</v>
      </c>
      <c r="B21" s="90" t="s">
        <v>125</v>
      </c>
      <c r="C21" s="90"/>
      <c r="D21" s="90"/>
      <c r="E21" s="90">
        <v>580</v>
      </c>
      <c r="F21" s="96" t="s">
        <v>209</v>
      </c>
      <c r="G21" s="90"/>
      <c r="H21" s="90"/>
      <c r="I21" s="90"/>
      <c r="J21" s="90"/>
      <c r="K21" s="96"/>
      <c r="L21" s="99">
        <f t="shared" si="0"/>
        <v>580</v>
      </c>
      <c r="M21" s="90" t="s">
        <v>26</v>
      </c>
      <c r="N21" s="90">
        <v>88</v>
      </c>
    </row>
    <row r="22" spans="1:14" ht="30" customHeight="1" x14ac:dyDescent="0.25">
      <c r="A22" s="93">
        <v>42109</v>
      </c>
      <c r="B22" s="90" t="s">
        <v>125</v>
      </c>
      <c r="C22" s="90"/>
      <c r="D22" s="90"/>
      <c r="E22" s="90">
        <v>4781.8900000000003</v>
      </c>
      <c r="F22" s="96" t="s">
        <v>204</v>
      </c>
      <c r="G22" s="90"/>
      <c r="H22" s="90"/>
      <c r="I22" s="90"/>
      <c r="J22" s="90"/>
      <c r="K22" s="96"/>
      <c r="L22" s="99">
        <f t="shared" si="0"/>
        <v>4781.8900000000003</v>
      </c>
      <c r="M22" s="90" t="s">
        <v>26</v>
      </c>
      <c r="N22" s="90">
        <v>90</v>
      </c>
    </row>
    <row r="23" spans="1:14" ht="37.5" customHeight="1" x14ac:dyDescent="0.25">
      <c r="A23" s="93">
        <v>42114</v>
      </c>
      <c r="B23" s="90"/>
      <c r="C23" s="90"/>
      <c r="D23" s="90"/>
      <c r="E23" s="90"/>
      <c r="F23" s="96"/>
      <c r="G23" s="90"/>
      <c r="H23" s="90"/>
      <c r="I23" s="90">
        <v>8960</v>
      </c>
      <c r="J23" s="90" t="s">
        <v>160</v>
      </c>
      <c r="K23" s="96" t="s">
        <v>161</v>
      </c>
      <c r="L23" s="99">
        <f>I23</f>
        <v>8960</v>
      </c>
      <c r="M23" s="90" t="s">
        <v>26</v>
      </c>
      <c r="N23" s="90">
        <v>90</v>
      </c>
    </row>
    <row r="24" spans="1:14" ht="30" customHeight="1" x14ac:dyDescent="0.25">
      <c r="A24" s="93">
        <v>42163</v>
      </c>
      <c r="B24" s="90" t="s">
        <v>125</v>
      </c>
      <c r="C24" s="90"/>
      <c r="D24" s="90"/>
      <c r="E24" s="90">
        <v>6745</v>
      </c>
      <c r="F24" s="96" t="s">
        <v>187</v>
      </c>
      <c r="G24" s="90"/>
      <c r="H24" s="90"/>
      <c r="I24" s="90"/>
      <c r="J24" s="90"/>
      <c r="K24" s="96"/>
      <c r="L24" s="99">
        <f t="shared" ref="L24:L34" si="1">E24</f>
        <v>6745</v>
      </c>
      <c r="M24" s="90" t="s">
        <v>184</v>
      </c>
      <c r="N24" s="90">
        <v>88</v>
      </c>
    </row>
    <row r="25" spans="1:14" ht="30" customHeight="1" x14ac:dyDescent="0.25">
      <c r="A25" s="93">
        <v>42173</v>
      </c>
      <c r="B25" s="90" t="s">
        <v>125</v>
      </c>
      <c r="C25" s="90">
        <v>15</v>
      </c>
      <c r="D25" s="90">
        <v>4</v>
      </c>
      <c r="E25" s="90">
        <f>C25*D25</f>
        <v>60</v>
      </c>
      <c r="F25" s="96" t="s">
        <v>188</v>
      </c>
      <c r="G25" s="90"/>
      <c r="H25" s="90"/>
      <c r="I25" s="90"/>
      <c r="J25" s="90"/>
      <c r="K25" s="96"/>
      <c r="L25" s="99">
        <f t="shared" si="1"/>
        <v>60</v>
      </c>
      <c r="M25" s="90" t="s">
        <v>184</v>
      </c>
      <c r="N25" s="90">
        <v>88</v>
      </c>
    </row>
    <row r="26" spans="1:14" ht="30" customHeight="1" x14ac:dyDescent="0.25">
      <c r="A26" s="93">
        <v>42173</v>
      </c>
      <c r="B26" s="90" t="s">
        <v>125</v>
      </c>
      <c r="C26" s="90"/>
      <c r="D26" s="90"/>
      <c r="E26" s="90">
        <v>2674</v>
      </c>
      <c r="F26" s="96" t="s">
        <v>187</v>
      </c>
      <c r="G26" s="90"/>
      <c r="H26" s="90"/>
      <c r="I26" s="90"/>
      <c r="J26" s="90"/>
      <c r="K26" s="96"/>
      <c r="L26" s="99">
        <f t="shared" si="1"/>
        <v>2674</v>
      </c>
      <c r="M26" s="90" t="s">
        <v>184</v>
      </c>
      <c r="N26" s="90">
        <v>90</v>
      </c>
    </row>
    <row r="27" spans="1:14" ht="30" customHeight="1" x14ac:dyDescent="0.25">
      <c r="A27" s="93">
        <v>42174</v>
      </c>
      <c r="B27" s="90" t="s">
        <v>125</v>
      </c>
      <c r="C27" s="90">
        <v>1520</v>
      </c>
      <c r="D27" s="90">
        <v>1</v>
      </c>
      <c r="E27" s="90">
        <v>1520</v>
      </c>
      <c r="F27" s="96" t="s">
        <v>196</v>
      </c>
      <c r="G27" s="90"/>
      <c r="H27" s="90"/>
      <c r="I27" s="90"/>
      <c r="J27" s="90"/>
      <c r="K27" s="96"/>
      <c r="L27" s="99">
        <f t="shared" si="1"/>
        <v>1520</v>
      </c>
      <c r="M27" s="90" t="s">
        <v>184</v>
      </c>
      <c r="N27" s="90">
        <v>88</v>
      </c>
    </row>
    <row r="28" spans="1:14" ht="85.5" customHeight="1" x14ac:dyDescent="0.25">
      <c r="A28" s="93">
        <v>42181</v>
      </c>
      <c r="B28" s="90" t="s">
        <v>125</v>
      </c>
      <c r="C28" s="90"/>
      <c r="D28" s="90"/>
      <c r="E28" s="90">
        <v>2651</v>
      </c>
      <c r="F28" s="96" t="s">
        <v>189</v>
      </c>
      <c r="G28" s="90"/>
      <c r="H28" s="90"/>
      <c r="I28" s="90"/>
      <c r="J28" s="90"/>
      <c r="K28" s="96"/>
      <c r="L28" s="99">
        <f t="shared" si="1"/>
        <v>2651</v>
      </c>
      <c r="M28" s="90" t="s">
        <v>184</v>
      </c>
      <c r="N28" s="90">
        <v>90</v>
      </c>
    </row>
    <row r="29" spans="1:14" ht="31.5" x14ac:dyDescent="0.25">
      <c r="A29" s="93">
        <v>42185</v>
      </c>
      <c r="B29" s="90" t="s">
        <v>125</v>
      </c>
      <c r="C29" s="90"/>
      <c r="D29" s="90"/>
      <c r="E29" s="90">
        <v>558</v>
      </c>
      <c r="F29" s="96" t="s">
        <v>190</v>
      </c>
      <c r="G29" s="90"/>
      <c r="H29" s="90"/>
      <c r="I29" s="90"/>
      <c r="J29" s="90"/>
      <c r="K29" s="96"/>
      <c r="L29" s="99">
        <f t="shared" si="1"/>
        <v>558</v>
      </c>
      <c r="M29" s="90" t="s">
        <v>184</v>
      </c>
      <c r="N29" s="90">
        <v>90</v>
      </c>
    </row>
    <row r="30" spans="1:14" ht="47.25" x14ac:dyDescent="0.25">
      <c r="A30" s="93">
        <v>42199</v>
      </c>
      <c r="B30" s="90" t="s">
        <v>125</v>
      </c>
      <c r="C30" s="90"/>
      <c r="D30" s="90"/>
      <c r="E30" s="90">
        <v>3796</v>
      </c>
      <c r="F30" s="96" t="s">
        <v>210</v>
      </c>
      <c r="G30" s="90"/>
      <c r="H30" s="90"/>
      <c r="I30" s="90"/>
      <c r="J30" s="90"/>
      <c r="K30" s="96"/>
      <c r="L30" s="99">
        <f t="shared" si="1"/>
        <v>3796</v>
      </c>
      <c r="M30" s="90" t="s">
        <v>26</v>
      </c>
      <c r="N30" s="90">
        <v>90</v>
      </c>
    </row>
    <row r="31" spans="1:14" ht="47.25" x14ac:dyDescent="0.25">
      <c r="A31" s="93">
        <v>42199</v>
      </c>
      <c r="B31" s="90" t="s">
        <v>125</v>
      </c>
      <c r="C31" s="90"/>
      <c r="D31" s="90"/>
      <c r="E31" s="90">
        <v>3191</v>
      </c>
      <c r="F31" s="96" t="s">
        <v>211</v>
      </c>
      <c r="G31" s="90"/>
      <c r="H31" s="90"/>
      <c r="I31" s="90"/>
      <c r="J31" s="90"/>
      <c r="K31" s="96"/>
      <c r="L31" s="99">
        <f t="shared" si="1"/>
        <v>3191</v>
      </c>
      <c r="M31" s="90" t="s">
        <v>26</v>
      </c>
      <c r="N31" s="90">
        <v>90</v>
      </c>
    </row>
    <row r="32" spans="1:14" ht="31.5" x14ac:dyDescent="0.25">
      <c r="A32" s="93">
        <v>42205</v>
      </c>
      <c r="B32" s="90" t="s">
        <v>125</v>
      </c>
      <c r="C32" s="90"/>
      <c r="D32" s="90"/>
      <c r="E32" s="90">
        <v>778</v>
      </c>
      <c r="F32" s="96" t="s">
        <v>192</v>
      </c>
      <c r="G32" s="90"/>
      <c r="H32" s="90"/>
      <c r="I32" s="90"/>
      <c r="J32" s="90"/>
      <c r="K32" s="96"/>
      <c r="L32" s="99">
        <f t="shared" si="1"/>
        <v>778</v>
      </c>
      <c r="M32" s="90" t="s">
        <v>184</v>
      </c>
      <c r="N32" s="90" t="s">
        <v>191</v>
      </c>
    </row>
    <row r="33" spans="1:14" ht="47.25" x14ac:dyDescent="0.25">
      <c r="A33" s="93">
        <v>42222</v>
      </c>
      <c r="B33" s="90" t="s">
        <v>125</v>
      </c>
      <c r="C33" s="90"/>
      <c r="D33" s="90"/>
      <c r="E33" s="90">
        <v>1089</v>
      </c>
      <c r="F33" s="96" t="s">
        <v>212</v>
      </c>
      <c r="G33" s="90"/>
      <c r="H33" s="90"/>
      <c r="I33" s="90"/>
      <c r="J33" s="90"/>
      <c r="K33" s="96"/>
      <c r="L33" s="99">
        <f t="shared" si="1"/>
        <v>1089</v>
      </c>
      <c r="M33" s="90" t="s">
        <v>26</v>
      </c>
      <c r="N33" s="90">
        <v>88</v>
      </c>
    </row>
    <row r="34" spans="1:14" ht="31.5" x14ac:dyDescent="0.25">
      <c r="A34" s="93">
        <v>42243</v>
      </c>
      <c r="B34" s="90" t="s">
        <v>125</v>
      </c>
      <c r="C34" s="90"/>
      <c r="D34" s="90"/>
      <c r="E34" s="90">
        <v>212</v>
      </c>
      <c r="F34" s="96" t="s">
        <v>193</v>
      </c>
      <c r="G34" s="90"/>
      <c r="H34" s="90"/>
      <c r="I34" s="90"/>
      <c r="J34" s="90"/>
      <c r="K34" s="96"/>
      <c r="L34" s="99">
        <f t="shared" si="1"/>
        <v>212</v>
      </c>
      <c r="M34" s="90" t="s">
        <v>184</v>
      </c>
      <c r="N34" s="90">
        <v>92</v>
      </c>
    </row>
    <row r="35" spans="1:14" ht="66" customHeight="1" x14ac:dyDescent="0.25">
      <c r="A35" s="93">
        <v>42222</v>
      </c>
      <c r="B35" s="90"/>
      <c r="C35" s="90"/>
      <c r="D35" s="90"/>
      <c r="E35" s="90"/>
      <c r="F35" s="639"/>
      <c r="G35" s="640">
        <v>12</v>
      </c>
      <c r="H35" s="641">
        <v>6708.3</v>
      </c>
      <c r="I35" s="641">
        <f>G35*H35</f>
        <v>80499.600000000006</v>
      </c>
      <c r="J35" s="640" t="s">
        <v>140</v>
      </c>
      <c r="K35" s="639" t="s">
        <v>138</v>
      </c>
      <c r="L35" s="642">
        <f>I35</f>
        <v>80499.600000000006</v>
      </c>
      <c r="M35" s="640" t="s">
        <v>184</v>
      </c>
      <c r="N35" s="640" t="s">
        <v>144</v>
      </c>
    </row>
    <row r="36" spans="1:14" ht="21.75" customHeight="1" x14ac:dyDescent="0.25">
      <c r="A36" s="93">
        <v>42256</v>
      </c>
      <c r="B36" s="90"/>
      <c r="C36" s="90"/>
      <c r="D36" s="90"/>
      <c r="E36" s="90"/>
      <c r="F36" s="639"/>
      <c r="G36" s="640"/>
      <c r="H36" s="641"/>
      <c r="I36" s="641"/>
      <c r="J36" s="640"/>
      <c r="K36" s="639"/>
      <c r="L36" s="641"/>
      <c r="M36" s="640"/>
      <c r="N36" s="640"/>
    </row>
    <row r="37" spans="1:14" ht="33" customHeight="1" x14ac:dyDescent="0.25">
      <c r="A37" s="93">
        <v>42255</v>
      </c>
      <c r="B37" s="90" t="s">
        <v>125</v>
      </c>
      <c r="C37" s="90"/>
      <c r="D37" s="90"/>
      <c r="E37" s="90">
        <v>115</v>
      </c>
      <c r="F37" s="96" t="s">
        <v>194</v>
      </c>
      <c r="G37" s="90"/>
      <c r="H37" s="94"/>
      <c r="I37" s="94"/>
      <c r="J37" s="90"/>
      <c r="K37" s="96"/>
      <c r="L37" s="99">
        <f>E37</f>
        <v>115</v>
      </c>
      <c r="M37" s="90" t="s">
        <v>184</v>
      </c>
      <c r="N37" s="90">
        <v>88</v>
      </c>
    </row>
    <row r="38" spans="1:14" ht="48" customHeight="1" x14ac:dyDescent="0.25">
      <c r="A38" s="93">
        <v>42261</v>
      </c>
      <c r="B38" s="91"/>
      <c r="C38" s="90"/>
      <c r="D38" s="90"/>
      <c r="E38" s="90">
        <v>645</v>
      </c>
      <c r="F38" s="96" t="s">
        <v>213</v>
      </c>
      <c r="G38" s="90"/>
      <c r="H38" s="94"/>
      <c r="I38" s="94"/>
      <c r="J38" s="90"/>
      <c r="K38" s="96"/>
      <c r="L38" s="99">
        <f>E38</f>
        <v>645</v>
      </c>
      <c r="M38" s="90" t="s">
        <v>26</v>
      </c>
      <c r="N38" s="90">
        <v>90</v>
      </c>
    </row>
    <row r="39" spans="1:14" ht="48" customHeight="1" x14ac:dyDescent="0.25">
      <c r="A39" s="93">
        <v>42264</v>
      </c>
      <c r="B39" s="90" t="s">
        <v>125</v>
      </c>
      <c r="C39" s="90"/>
      <c r="D39" s="90"/>
      <c r="E39" s="90">
        <v>964</v>
      </c>
      <c r="F39" s="96" t="s">
        <v>214</v>
      </c>
      <c r="G39" s="90"/>
      <c r="H39" s="94"/>
      <c r="I39" s="94"/>
      <c r="J39" s="90"/>
      <c r="K39" s="96"/>
      <c r="L39" s="99">
        <f>E39</f>
        <v>964</v>
      </c>
      <c r="M39" s="90" t="s">
        <v>26</v>
      </c>
      <c r="N39" s="90">
        <v>92</v>
      </c>
    </row>
    <row r="40" spans="1:14" ht="71.25" customHeight="1" x14ac:dyDescent="0.25">
      <c r="A40" s="93">
        <v>42268</v>
      </c>
      <c r="B40" s="90" t="s">
        <v>125</v>
      </c>
      <c r="C40" s="90"/>
      <c r="D40" s="90"/>
      <c r="E40" s="90">
        <v>2921</v>
      </c>
      <c r="F40" s="96" t="s">
        <v>215</v>
      </c>
      <c r="G40" s="90"/>
      <c r="H40" s="94"/>
      <c r="I40" s="94"/>
      <c r="J40" s="90"/>
      <c r="K40" s="96"/>
      <c r="L40" s="99">
        <f>E40</f>
        <v>2921</v>
      </c>
      <c r="M40" s="90" t="s">
        <v>26</v>
      </c>
      <c r="N40" s="90">
        <v>92</v>
      </c>
    </row>
    <row r="41" spans="1:14" ht="35.25" customHeight="1" x14ac:dyDescent="0.25">
      <c r="A41" s="93">
        <v>42285</v>
      </c>
      <c r="B41" s="90"/>
      <c r="C41" s="90"/>
      <c r="D41" s="90"/>
      <c r="E41" s="90"/>
      <c r="F41" s="100"/>
      <c r="G41" s="90"/>
      <c r="H41" s="94"/>
      <c r="I41" s="94">
        <v>3500</v>
      </c>
      <c r="J41" s="90" t="s">
        <v>167</v>
      </c>
      <c r="K41" s="96" t="s">
        <v>165</v>
      </c>
      <c r="L41" s="94">
        <v>3500</v>
      </c>
      <c r="M41" s="90" t="s">
        <v>80</v>
      </c>
      <c r="N41" s="90">
        <v>92</v>
      </c>
    </row>
    <row r="42" spans="1:14" ht="52.5" customHeight="1" x14ac:dyDescent="0.25">
      <c r="A42" s="93">
        <v>42223</v>
      </c>
      <c r="B42" s="90"/>
      <c r="C42" s="90"/>
      <c r="D42" s="90"/>
      <c r="E42" s="90"/>
      <c r="F42" s="96"/>
      <c r="G42" s="90"/>
      <c r="H42" s="94"/>
      <c r="I42" s="94">
        <v>40032</v>
      </c>
      <c r="J42" s="90" t="s">
        <v>166</v>
      </c>
      <c r="K42" s="96" t="s">
        <v>164</v>
      </c>
      <c r="L42" s="94">
        <v>40032</v>
      </c>
      <c r="M42" s="90" t="s">
        <v>80</v>
      </c>
      <c r="N42" s="90">
        <v>88</v>
      </c>
    </row>
    <row r="43" spans="1:14" ht="52.5" customHeight="1" x14ac:dyDescent="0.25">
      <c r="A43" s="93">
        <v>42325</v>
      </c>
      <c r="B43" s="90" t="s">
        <v>125</v>
      </c>
      <c r="C43" s="90"/>
      <c r="D43" s="90"/>
      <c r="E43" s="90">
        <v>3441</v>
      </c>
      <c r="F43" s="96" t="s">
        <v>216</v>
      </c>
      <c r="G43" s="90"/>
      <c r="H43" s="94"/>
      <c r="I43" s="94"/>
      <c r="J43" s="90"/>
      <c r="K43" s="96"/>
      <c r="L43" s="99">
        <f>E43</f>
        <v>3441</v>
      </c>
      <c r="M43" s="90" t="s">
        <v>26</v>
      </c>
      <c r="N43" s="90">
        <v>88</v>
      </c>
    </row>
    <row r="44" spans="1:14" ht="40.5" customHeight="1" x14ac:dyDescent="0.25">
      <c r="A44" s="93">
        <v>42277</v>
      </c>
      <c r="B44" s="90" t="s">
        <v>154</v>
      </c>
      <c r="C44" s="90">
        <v>7000</v>
      </c>
      <c r="D44" s="90">
        <v>1</v>
      </c>
      <c r="E44" s="90">
        <f>C44*D44</f>
        <v>7000</v>
      </c>
      <c r="F44" s="96" t="s">
        <v>155</v>
      </c>
      <c r="G44" s="90"/>
      <c r="H44" s="94"/>
      <c r="I44" s="94"/>
      <c r="J44" s="90"/>
      <c r="K44" s="96"/>
      <c r="L44" s="94">
        <f>E44</f>
        <v>7000</v>
      </c>
      <c r="M44" s="90" t="s">
        <v>35</v>
      </c>
      <c r="N44" s="90" t="s">
        <v>151</v>
      </c>
    </row>
    <row r="45" spans="1:14" ht="40.5" customHeight="1" x14ac:dyDescent="0.25">
      <c r="A45" s="93">
        <v>42292</v>
      </c>
      <c r="B45" s="90" t="s">
        <v>125</v>
      </c>
      <c r="C45" s="90"/>
      <c r="D45" s="90"/>
      <c r="E45" s="90">
        <v>508</v>
      </c>
      <c r="F45" s="96" t="s">
        <v>195</v>
      </c>
      <c r="G45" s="90"/>
      <c r="H45" s="94"/>
      <c r="I45" s="94"/>
      <c r="J45" s="90"/>
      <c r="K45" s="96"/>
      <c r="L45" s="99">
        <f>E45</f>
        <v>508</v>
      </c>
      <c r="M45" s="90" t="s">
        <v>184</v>
      </c>
      <c r="N45" s="90">
        <v>88</v>
      </c>
    </row>
    <row r="46" spans="1:14" ht="51" customHeight="1" x14ac:dyDescent="0.25">
      <c r="A46" s="93">
        <v>42299</v>
      </c>
      <c r="B46" s="90"/>
      <c r="C46" s="90"/>
      <c r="D46" s="90"/>
      <c r="E46" s="90"/>
      <c r="F46" s="96"/>
      <c r="G46" s="90"/>
      <c r="H46" s="94"/>
      <c r="I46" s="94">
        <f>18643.75+94520.25</f>
        <v>113164</v>
      </c>
      <c r="J46" s="90" t="s">
        <v>152</v>
      </c>
      <c r="K46" s="96" t="s">
        <v>153</v>
      </c>
      <c r="L46" s="94">
        <f>I46</f>
        <v>113164</v>
      </c>
      <c r="M46" s="90" t="s">
        <v>35</v>
      </c>
      <c r="N46" s="90" t="s">
        <v>144</v>
      </c>
    </row>
    <row r="47" spans="1:14" ht="47.25" x14ac:dyDescent="0.25">
      <c r="A47" s="93">
        <v>42178</v>
      </c>
      <c r="B47" s="90"/>
      <c r="C47" s="90"/>
      <c r="D47" s="90"/>
      <c r="E47" s="90"/>
      <c r="F47" s="91"/>
      <c r="G47" s="90"/>
      <c r="H47" s="90"/>
      <c r="I47" s="90">
        <v>13208.2</v>
      </c>
      <c r="J47" s="90" t="s">
        <v>139</v>
      </c>
      <c r="K47" s="91" t="s">
        <v>141</v>
      </c>
      <c r="L47" s="99">
        <f>I47</f>
        <v>13208.2</v>
      </c>
      <c r="M47" s="90" t="s">
        <v>184</v>
      </c>
      <c r="N47" s="90" t="s">
        <v>144</v>
      </c>
    </row>
    <row r="48" spans="1:14" ht="31.5" x14ac:dyDescent="0.25">
      <c r="A48" s="93">
        <v>42157</v>
      </c>
      <c r="B48" s="90" t="s">
        <v>156</v>
      </c>
      <c r="C48" s="94"/>
      <c r="D48" s="94">
        <v>23</v>
      </c>
      <c r="E48" s="92">
        <v>5592.8</v>
      </c>
      <c r="F48" s="91" t="s">
        <v>157</v>
      </c>
      <c r="G48" s="90"/>
      <c r="H48" s="90"/>
      <c r="I48" s="90"/>
      <c r="J48" s="90"/>
      <c r="K48" s="91"/>
      <c r="L48" s="95">
        <v>5592.8</v>
      </c>
      <c r="M48" s="90" t="s">
        <v>184</v>
      </c>
      <c r="N48" s="90" t="s">
        <v>144</v>
      </c>
    </row>
    <row r="49" spans="1:14" ht="47.25" x14ac:dyDescent="0.25">
      <c r="A49" s="93">
        <v>42258</v>
      </c>
      <c r="B49" s="90" t="s">
        <v>177</v>
      </c>
      <c r="C49" s="94"/>
      <c r="D49" s="94"/>
      <c r="E49" s="92">
        <v>5500</v>
      </c>
      <c r="F49" s="91" t="s">
        <v>178</v>
      </c>
      <c r="G49" s="90"/>
      <c r="H49" s="90"/>
      <c r="I49" s="90"/>
      <c r="J49" s="90"/>
      <c r="K49" s="91"/>
      <c r="L49" s="101">
        <f>E49</f>
        <v>5500</v>
      </c>
      <c r="M49" s="90" t="s">
        <v>24</v>
      </c>
      <c r="N49" s="90" t="s">
        <v>144</v>
      </c>
    </row>
    <row r="50" spans="1:14" ht="63" x14ac:dyDescent="0.25">
      <c r="A50" s="93">
        <v>42309</v>
      </c>
      <c r="B50" s="90"/>
      <c r="C50" s="90"/>
      <c r="D50" s="90"/>
      <c r="E50" s="90"/>
      <c r="F50" s="91"/>
      <c r="G50" s="90">
        <v>3</v>
      </c>
      <c r="H50" s="90">
        <v>5750</v>
      </c>
      <c r="I50" s="90">
        <f>H50*G50</f>
        <v>17250</v>
      </c>
      <c r="J50" s="90" t="s">
        <v>140</v>
      </c>
      <c r="K50" s="91" t="s">
        <v>142</v>
      </c>
      <c r="L50" s="94">
        <f>I50</f>
        <v>17250</v>
      </c>
      <c r="M50" s="90" t="s">
        <v>43</v>
      </c>
      <c r="N50" s="90" t="s">
        <v>144</v>
      </c>
    </row>
    <row r="51" spans="1:14" ht="47.25" x14ac:dyDescent="0.25">
      <c r="A51" s="93">
        <v>42342</v>
      </c>
      <c r="B51" s="90" t="s">
        <v>125</v>
      </c>
      <c r="C51" s="90"/>
      <c r="D51" s="90"/>
      <c r="E51" s="90">
        <v>4857</v>
      </c>
      <c r="F51" s="91" t="s">
        <v>217</v>
      </c>
      <c r="G51" s="90"/>
      <c r="H51" s="90"/>
      <c r="I51" s="90"/>
      <c r="J51" s="90"/>
      <c r="K51" s="91"/>
      <c r="L51" s="99">
        <f>E51</f>
        <v>4857</v>
      </c>
      <c r="M51" s="90" t="s">
        <v>26</v>
      </c>
      <c r="N51" s="90">
        <v>92</v>
      </c>
    </row>
    <row r="52" spans="1:14" ht="47.25" x14ac:dyDescent="0.25">
      <c r="A52" s="90" t="s">
        <v>162</v>
      </c>
      <c r="B52" s="91"/>
      <c r="C52" s="90"/>
      <c r="D52" s="90"/>
      <c r="E52" s="90"/>
      <c r="F52" s="91"/>
      <c r="G52" s="90">
        <v>2</v>
      </c>
      <c r="H52" s="90">
        <v>1500</v>
      </c>
      <c r="I52" s="90">
        <f>(G52*H52)*6</f>
        <v>18000</v>
      </c>
      <c r="J52" s="91" t="s">
        <v>163</v>
      </c>
      <c r="K52" s="91" t="s">
        <v>75</v>
      </c>
      <c r="L52" s="94">
        <f>I52</f>
        <v>18000</v>
      </c>
      <c r="M52" s="90" t="s">
        <v>75</v>
      </c>
      <c r="N52" s="90" t="s">
        <v>144</v>
      </c>
    </row>
    <row r="53" spans="1:14" x14ac:dyDescent="0.25">
      <c r="L53" s="83"/>
      <c r="N53" s="81"/>
    </row>
    <row r="54" spans="1:14" x14ac:dyDescent="0.25">
      <c r="L54" s="83"/>
      <c r="N54" s="81"/>
    </row>
    <row r="55" spans="1:14" x14ac:dyDescent="0.25">
      <c r="L55" s="83"/>
      <c r="N55" s="81"/>
    </row>
    <row r="56" spans="1:14" x14ac:dyDescent="0.25">
      <c r="L56" s="83"/>
      <c r="N56" s="81"/>
    </row>
    <row r="57" spans="1:14" x14ac:dyDescent="0.25">
      <c r="L57" s="83"/>
      <c r="N57" s="81"/>
    </row>
    <row r="58" spans="1:14" x14ac:dyDescent="0.25">
      <c r="L58" s="83"/>
      <c r="N58" s="81"/>
    </row>
    <row r="59" spans="1:14" x14ac:dyDescent="0.25">
      <c r="L59" s="83"/>
      <c r="N59" s="81"/>
    </row>
    <row r="61" spans="1:14" x14ac:dyDescent="0.25">
      <c r="L61" s="89">
        <f>SUBTOTAL(9,L4:L51)</f>
        <v>530391.28</v>
      </c>
    </row>
    <row r="62" spans="1:14" x14ac:dyDescent="0.25">
      <c r="L62" s="89">
        <f>SUBTOTAL(9,L2:L48)</f>
        <v>508198.28</v>
      </c>
    </row>
    <row r="63" spans="1:14" x14ac:dyDescent="0.25">
      <c r="L63" s="89">
        <f>SUBTOTAL(9,L4:L51)</f>
        <v>530391.28</v>
      </c>
    </row>
    <row r="64" spans="1:14" x14ac:dyDescent="0.25">
      <c r="L64" s="89">
        <f>SUBTOTAL(9,L2:L48)</f>
        <v>508198.28</v>
      </c>
    </row>
  </sheetData>
  <autoFilter ref="M1:M64"/>
  <mergeCells count="15">
    <mergeCell ref="F12:F14"/>
    <mergeCell ref="F35:F36"/>
    <mergeCell ref="N35:N36"/>
    <mergeCell ref="N12:N14"/>
    <mergeCell ref="J13:J14"/>
    <mergeCell ref="K12:K14"/>
    <mergeCell ref="L13:L14"/>
    <mergeCell ref="G35:G36"/>
    <mergeCell ref="H35:H36"/>
    <mergeCell ref="I35:I36"/>
    <mergeCell ref="J35:J36"/>
    <mergeCell ref="L35:L36"/>
    <mergeCell ref="K35:K36"/>
    <mergeCell ref="M13:M14"/>
    <mergeCell ref="M35:M36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2" workbookViewId="0">
      <selection activeCell="M11" sqref="M11"/>
    </sheetView>
  </sheetViews>
  <sheetFormatPr defaultRowHeight="15" x14ac:dyDescent="0.25"/>
  <cols>
    <col min="1" max="1" width="10.140625" style="148" bestFit="1" customWidth="1"/>
    <col min="2" max="3" width="10.140625" style="149" customWidth="1"/>
    <col min="4" max="4" width="17.7109375" style="149" customWidth="1"/>
    <col min="5" max="5" width="33.28515625" style="151" customWidth="1"/>
    <col min="6" max="6" width="16.5703125" style="108" customWidth="1"/>
    <col min="7" max="7" width="14.42578125" style="108" customWidth="1"/>
    <col min="8" max="16384" width="9.140625" style="108"/>
  </cols>
  <sheetData>
    <row r="1" spans="1:7" x14ac:dyDescent="0.25">
      <c r="A1" s="104" t="s">
        <v>117</v>
      </c>
      <c r="B1" s="105" t="s">
        <v>119</v>
      </c>
      <c r="C1" s="105" t="s">
        <v>120</v>
      </c>
      <c r="D1" s="105" t="s">
        <v>121</v>
      </c>
      <c r="E1" s="106" t="s">
        <v>225</v>
      </c>
      <c r="F1" s="107" t="s">
        <v>226</v>
      </c>
      <c r="G1" s="107" t="s">
        <v>143</v>
      </c>
    </row>
    <row r="2" spans="1:7" ht="30" x14ac:dyDescent="0.25">
      <c r="A2" s="649">
        <v>42040</v>
      </c>
      <c r="B2" s="109">
        <v>28</v>
      </c>
      <c r="C2" s="110">
        <v>2</v>
      </c>
      <c r="D2" s="109">
        <f>B2*C2</f>
        <v>56</v>
      </c>
      <c r="E2" s="111" t="s">
        <v>227</v>
      </c>
      <c r="F2" s="657" t="s">
        <v>228</v>
      </c>
      <c r="G2" s="650" t="s">
        <v>67</v>
      </c>
    </row>
    <row r="3" spans="1:7" ht="30" x14ac:dyDescent="0.25">
      <c r="A3" s="643"/>
      <c r="B3" s="109">
        <v>23</v>
      </c>
      <c r="C3" s="110">
        <v>2</v>
      </c>
      <c r="D3" s="109">
        <f t="shared" ref="D3:D4" si="0">B3*C3</f>
        <v>46</v>
      </c>
      <c r="E3" s="111" t="s">
        <v>227</v>
      </c>
      <c r="F3" s="658"/>
      <c r="G3" s="659"/>
    </row>
    <row r="4" spans="1:7" ht="30" x14ac:dyDescent="0.25">
      <c r="A4" s="656"/>
      <c r="B4" s="109">
        <v>29</v>
      </c>
      <c r="C4" s="110">
        <v>2</v>
      </c>
      <c r="D4" s="109">
        <f t="shared" si="0"/>
        <v>58</v>
      </c>
      <c r="E4" s="111" t="s">
        <v>227</v>
      </c>
      <c r="F4" s="658"/>
      <c r="G4" s="651"/>
    </row>
    <row r="5" spans="1:7" ht="30" x14ac:dyDescent="0.25">
      <c r="A5" s="112">
        <v>42040</v>
      </c>
      <c r="B5" s="109">
        <v>54</v>
      </c>
      <c r="C5" s="110">
        <v>10</v>
      </c>
      <c r="D5" s="110">
        <f>B5*C5</f>
        <v>540</v>
      </c>
      <c r="E5" s="111" t="s">
        <v>229</v>
      </c>
      <c r="F5" s="113" t="s">
        <v>228</v>
      </c>
      <c r="G5" s="114" t="s">
        <v>67</v>
      </c>
    </row>
    <row r="6" spans="1:7" x14ac:dyDescent="0.25">
      <c r="A6" s="115" t="s">
        <v>230</v>
      </c>
      <c r="B6" s="110"/>
      <c r="C6" s="110"/>
      <c r="D6" s="110"/>
      <c r="E6" s="111" t="s">
        <v>231</v>
      </c>
      <c r="F6" s="116"/>
      <c r="G6" s="114" t="s">
        <v>67</v>
      </c>
    </row>
    <row r="7" spans="1:7" x14ac:dyDescent="0.25">
      <c r="A7" s="115" t="s">
        <v>232</v>
      </c>
      <c r="B7" s="110"/>
      <c r="C7" s="110"/>
      <c r="D7" s="119">
        <v>111</v>
      </c>
      <c r="E7" s="111" t="s">
        <v>233</v>
      </c>
      <c r="F7" s="116"/>
      <c r="G7" s="114" t="s">
        <v>67</v>
      </c>
    </row>
    <row r="8" spans="1:7" x14ac:dyDescent="0.25">
      <c r="A8" s="115" t="s">
        <v>232</v>
      </c>
      <c r="B8" s="110"/>
      <c r="C8" s="110"/>
      <c r="D8" s="109">
        <v>386</v>
      </c>
      <c r="E8" s="111" t="s">
        <v>234</v>
      </c>
      <c r="F8" s="116"/>
      <c r="G8" s="114" t="s">
        <v>67</v>
      </c>
    </row>
    <row r="9" spans="1:7" x14ac:dyDescent="0.25">
      <c r="A9" s="115" t="s">
        <v>232</v>
      </c>
      <c r="B9" s="110"/>
      <c r="C9" s="110"/>
      <c r="D9" s="109">
        <v>254.4</v>
      </c>
      <c r="E9" s="111" t="s">
        <v>235</v>
      </c>
      <c r="F9" s="116"/>
      <c r="G9" s="114" t="s">
        <v>67</v>
      </c>
    </row>
    <row r="10" spans="1:7" ht="30" x14ac:dyDescent="0.25">
      <c r="A10" s="115" t="s">
        <v>232</v>
      </c>
      <c r="B10" s="110"/>
      <c r="C10" s="110"/>
      <c r="D10" s="109">
        <v>299.5</v>
      </c>
      <c r="E10" s="111" t="s">
        <v>236</v>
      </c>
      <c r="F10" s="118"/>
      <c r="G10" s="114" t="s">
        <v>67</v>
      </c>
    </row>
    <row r="11" spans="1:7" ht="30" x14ac:dyDescent="0.25">
      <c r="A11" s="649">
        <v>42100</v>
      </c>
      <c r="B11" s="123">
        <v>89</v>
      </c>
      <c r="C11" s="124">
        <v>1</v>
      </c>
      <c r="D11" s="123">
        <v>89</v>
      </c>
      <c r="E11" s="125" t="s">
        <v>237</v>
      </c>
      <c r="F11" s="647" t="s">
        <v>228</v>
      </c>
      <c r="G11" s="647" t="s">
        <v>67</v>
      </c>
    </row>
    <row r="12" spans="1:7" ht="15.75" thickBot="1" x14ac:dyDescent="0.3">
      <c r="A12" s="656"/>
      <c r="B12" s="120">
        <v>109</v>
      </c>
      <c r="C12" s="121">
        <v>1</v>
      </c>
      <c r="D12" s="120">
        <f>B12*C12</f>
        <v>109</v>
      </c>
      <c r="E12" s="122" t="s">
        <v>238</v>
      </c>
      <c r="F12" s="648"/>
      <c r="G12" s="648"/>
    </row>
    <row r="13" spans="1:7" x14ac:dyDescent="0.25">
      <c r="A13" s="649">
        <v>42138</v>
      </c>
      <c r="B13" s="123">
        <v>53</v>
      </c>
      <c r="C13" s="124">
        <v>4</v>
      </c>
      <c r="D13" s="123">
        <f>B13*C13</f>
        <v>212</v>
      </c>
      <c r="E13" s="125" t="s">
        <v>231</v>
      </c>
      <c r="F13" s="126"/>
      <c r="G13" s="127" t="s">
        <v>67</v>
      </c>
    </row>
    <row r="14" spans="1:7" x14ac:dyDescent="0.25">
      <c r="A14" s="643"/>
      <c r="B14" s="109">
        <v>32</v>
      </c>
      <c r="C14" s="110">
        <v>1</v>
      </c>
      <c r="D14" s="109">
        <f t="shared" ref="D14:D40" si="1">B14*C14</f>
        <v>32</v>
      </c>
      <c r="E14" s="111" t="s">
        <v>239</v>
      </c>
      <c r="F14" s="128"/>
      <c r="G14" s="650" t="s">
        <v>67</v>
      </c>
    </row>
    <row r="15" spans="1:7" x14ac:dyDescent="0.25">
      <c r="A15" s="643"/>
      <c r="B15" s="109">
        <v>25</v>
      </c>
      <c r="C15" s="110">
        <v>4</v>
      </c>
      <c r="D15" s="109">
        <f t="shared" si="1"/>
        <v>100</v>
      </c>
      <c r="E15" s="111" t="s">
        <v>240</v>
      </c>
      <c r="F15" s="128"/>
      <c r="G15" s="651"/>
    </row>
    <row r="16" spans="1:7" ht="30" x14ac:dyDescent="0.25">
      <c r="A16" s="643"/>
      <c r="B16" s="109">
        <v>58</v>
      </c>
      <c r="C16" s="110">
        <v>5</v>
      </c>
      <c r="D16" s="109">
        <f t="shared" si="1"/>
        <v>290</v>
      </c>
      <c r="E16" s="111" t="s">
        <v>241</v>
      </c>
      <c r="F16" s="652" t="s">
        <v>228</v>
      </c>
      <c r="G16" s="650" t="s">
        <v>67</v>
      </c>
    </row>
    <row r="17" spans="1:7" ht="15.75" thickBot="1" x14ac:dyDescent="0.3">
      <c r="A17" s="644"/>
      <c r="B17" s="120">
        <v>51</v>
      </c>
      <c r="C17" s="121">
        <v>6</v>
      </c>
      <c r="D17" s="120">
        <f t="shared" si="1"/>
        <v>306</v>
      </c>
      <c r="E17" s="122" t="s">
        <v>242</v>
      </c>
      <c r="F17" s="648"/>
      <c r="G17" s="653"/>
    </row>
    <row r="18" spans="1:7" ht="30" x14ac:dyDescent="0.25">
      <c r="A18" s="654">
        <v>42184</v>
      </c>
      <c r="B18" s="123">
        <v>134.88999999999999</v>
      </c>
      <c r="C18" s="124">
        <v>4</v>
      </c>
      <c r="D18" s="123">
        <f t="shared" si="1"/>
        <v>539.55999999999995</v>
      </c>
      <c r="E18" s="125" t="s">
        <v>243</v>
      </c>
      <c r="F18" s="129" t="s">
        <v>244</v>
      </c>
      <c r="G18" s="647" t="s">
        <v>245</v>
      </c>
    </row>
    <row r="19" spans="1:7" ht="30" x14ac:dyDescent="0.25">
      <c r="A19" s="654"/>
      <c r="B19" s="109">
        <v>32.32</v>
      </c>
      <c r="C19" s="110">
        <v>6</v>
      </c>
      <c r="D19" s="109">
        <f t="shared" si="1"/>
        <v>193.92000000000002</v>
      </c>
      <c r="E19" s="111" t="s">
        <v>246</v>
      </c>
      <c r="F19" s="130" t="s">
        <v>244</v>
      </c>
      <c r="G19" s="647"/>
    </row>
    <row r="20" spans="1:7" ht="30" x14ac:dyDescent="0.25">
      <c r="A20" s="654"/>
      <c r="B20" s="109">
        <v>25.27</v>
      </c>
      <c r="C20" s="110">
        <v>5</v>
      </c>
      <c r="D20" s="109">
        <f t="shared" si="1"/>
        <v>126.35</v>
      </c>
      <c r="E20" s="111" t="s">
        <v>247</v>
      </c>
      <c r="F20" s="128" t="s">
        <v>248</v>
      </c>
      <c r="G20" s="647"/>
    </row>
    <row r="21" spans="1:7" ht="30" x14ac:dyDescent="0.25">
      <c r="A21" s="654"/>
      <c r="B21" s="109">
        <v>44.87</v>
      </c>
      <c r="C21" s="110">
        <v>20</v>
      </c>
      <c r="D21" s="109">
        <f t="shared" si="1"/>
        <v>897.4</v>
      </c>
      <c r="E21" s="111" t="s">
        <v>249</v>
      </c>
      <c r="F21" s="131" t="s">
        <v>244</v>
      </c>
      <c r="G21" s="647"/>
    </row>
    <row r="22" spans="1:7" x14ac:dyDescent="0.25">
      <c r="A22" s="654"/>
      <c r="B22" s="110">
        <v>31.09</v>
      </c>
      <c r="C22" s="110">
        <v>3</v>
      </c>
      <c r="D22" s="109">
        <f t="shared" si="1"/>
        <v>93.27</v>
      </c>
      <c r="E22" s="111" t="s">
        <v>250</v>
      </c>
      <c r="F22" s="652" t="s">
        <v>251</v>
      </c>
      <c r="G22" s="647"/>
    </row>
    <row r="23" spans="1:7" ht="15.75" thickBot="1" x14ac:dyDescent="0.3">
      <c r="A23" s="655"/>
      <c r="B23" s="121">
        <v>22.15</v>
      </c>
      <c r="C23" s="121">
        <v>2</v>
      </c>
      <c r="D23" s="120">
        <f t="shared" si="1"/>
        <v>44.3</v>
      </c>
      <c r="E23" s="122" t="s">
        <v>250</v>
      </c>
      <c r="F23" s="648"/>
      <c r="G23" s="648"/>
    </row>
    <row r="24" spans="1:7" ht="30.75" thickBot="1" x14ac:dyDescent="0.3">
      <c r="A24" s="132">
        <v>42194</v>
      </c>
      <c r="B24" s="133">
        <v>192.3</v>
      </c>
      <c r="C24" s="134">
        <v>1</v>
      </c>
      <c r="D24" s="133">
        <f t="shared" si="1"/>
        <v>192.3</v>
      </c>
      <c r="E24" s="135" t="s">
        <v>252</v>
      </c>
      <c r="F24" s="136" t="s">
        <v>253</v>
      </c>
      <c r="G24" s="137" t="s">
        <v>67</v>
      </c>
    </row>
    <row r="25" spans="1:7" x14ac:dyDescent="0.25">
      <c r="A25" s="643">
        <v>42223</v>
      </c>
      <c r="B25" s="123">
        <v>42</v>
      </c>
      <c r="C25" s="124">
        <v>6</v>
      </c>
      <c r="D25" s="123">
        <f t="shared" si="1"/>
        <v>252</v>
      </c>
      <c r="E25" s="125" t="s">
        <v>254</v>
      </c>
      <c r="F25" s="645" t="s">
        <v>244</v>
      </c>
      <c r="G25" s="647" t="s">
        <v>67</v>
      </c>
    </row>
    <row r="26" spans="1:7" x14ac:dyDescent="0.25">
      <c r="A26" s="643"/>
      <c r="B26" s="109">
        <v>25</v>
      </c>
      <c r="C26" s="110">
        <v>2</v>
      </c>
      <c r="D26" s="109">
        <f t="shared" si="1"/>
        <v>50</v>
      </c>
      <c r="E26" s="111" t="s">
        <v>255</v>
      </c>
      <c r="F26" s="645"/>
      <c r="G26" s="647"/>
    </row>
    <row r="27" spans="1:7" ht="30" x14ac:dyDescent="0.25">
      <c r="A27" s="643"/>
      <c r="B27" s="109">
        <v>47</v>
      </c>
      <c r="C27" s="110">
        <v>5</v>
      </c>
      <c r="D27" s="109">
        <f t="shared" si="1"/>
        <v>235</v>
      </c>
      <c r="E27" s="111" t="s">
        <v>256</v>
      </c>
      <c r="F27" s="645"/>
      <c r="G27" s="647"/>
    </row>
    <row r="28" spans="1:7" ht="30.75" thickBot="1" x14ac:dyDescent="0.3">
      <c r="A28" s="644"/>
      <c r="B28" s="120">
        <v>47</v>
      </c>
      <c r="C28" s="121">
        <v>1</v>
      </c>
      <c r="D28" s="120">
        <f t="shared" si="1"/>
        <v>47</v>
      </c>
      <c r="E28" s="122" t="s">
        <v>256</v>
      </c>
      <c r="F28" s="646"/>
      <c r="G28" s="648"/>
    </row>
    <row r="29" spans="1:7" ht="30" x14ac:dyDescent="0.25">
      <c r="A29" s="643">
        <v>42223</v>
      </c>
      <c r="B29" s="123">
        <v>54</v>
      </c>
      <c r="C29" s="124">
        <v>15</v>
      </c>
      <c r="D29" s="123">
        <f>B29*C29</f>
        <v>810</v>
      </c>
      <c r="E29" s="125" t="s">
        <v>257</v>
      </c>
      <c r="F29" s="645" t="s">
        <v>244</v>
      </c>
      <c r="G29" s="647" t="s">
        <v>67</v>
      </c>
    </row>
    <row r="30" spans="1:7" ht="30" x14ac:dyDescent="0.25">
      <c r="A30" s="643"/>
      <c r="B30" s="109">
        <v>53</v>
      </c>
      <c r="C30" s="110">
        <v>5</v>
      </c>
      <c r="D30" s="109">
        <f t="shared" si="1"/>
        <v>265</v>
      </c>
      <c r="E30" s="111" t="s">
        <v>258</v>
      </c>
      <c r="F30" s="645"/>
      <c r="G30" s="647"/>
    </row>
    <row r="31" spans="1:7" ht="30.75" thickBot="1" x14ac:dyDescent="0.3">
      <c r="A31" s="644"/>
      <c r="B31" s="120">
        <v>87</v>
      </c>
      <c r="C31" s="121">
        <v>3</v>
      </c>
      <c r="D31" s="120">
        <f t="shared" si="1"/>
        <v>261</v>
      </c>
      <c r="E31" s="122" t="s">
        <v>259</v>
      </c>
      <c r="F31" s="646"/>
      <c r="G31" s="648"/>
    </row>
    <row r="32" spans="1:7" ht="30" x14ac:dyDescent="0.25">
      <c r="A32" s="643">
        <v>42223</v>
      </c>
      <c r="B32" s="123">
        <v>41</v>
      </c>
      <c r="C32" s="124">
        <v>6</v>
      </c>
      <c r="D32" s="123">
        <f t="shared" si="1"/>
        <v>246</v>
      </c>
      <c r="E32" s="125" t="s">
        <v>260</v>
      </c>
      <c r="F32" s="138" t="s">
        <v>244</v>
      </c>
      <c r="G32" s="139" t="s">
        <v>261</v>
      </c>
    </row>
    <row r="33" spans="1:7" ht="30.75" thickBot="1" x14ac:dyDescent="0.3">
      <c r="A33" s="644"/>
      <c r="B33" s="120">
        <v>32</v>
      </c>
      <c r="C33" s="121">
        <v>1</v>
      </c>
      <c r="D33" s="120">
        <f t="shared" si="1"/>
        <v>32</v>
      </c>
      <c r="E33" s="122" t="s">
        <v>262</v>
      </c>
      <c r="F33" s="140" t="s">
        <v>263</v>
      </c>
      <c r="G33" s="141" t="s">
        <v>67</v>
      </c>
    </row>
    <row r="34" spans="1:7" ht="30" x14ac:dyDescent="0.25">
      <c r="A34" s="643">
        <v>42255</v>
      </c>
      <c r="B34" s="109">
        <v>27.45</v>
      </c>
      <c r="C34" s="110">
        <v>3</v>
      </c>
      <c r="D34" s="109">
        <f t="shared" si="1"/>
        <v>82.35</v>
      </c>
      <c r="E34" s="111" t="s">
        <v>264</v>
      </c>
      <c r="F34" s="138" t="s">
        <v>244</v>
      </c>
      <c r="G34" s="139" t="s">
        <v>67</v>
      </c>
    </row>
    <row r="35" spans="1:7" ht="30" x14ac:dyDescent="0.25">
      <c r="A35" s="643"/>
      <c r="B35" s="109">
        <v>32.32</v>
      </c>
      <c r="C35" s="110">
        <v>3</v>
      </c>
      <c r="D35" s="109">
        <f t="shared" si="1"/>
        <v>96.960000000000008</v>
      </c>
      <c r="E35" s="111" t="s">
        <v>256</v>
      </c>
      <c r="F35" s="138" t="s">
        <v>244</v>
      </c>
      <c r="G35" s="139" t="s">
        <v>67</v>
      </c>
    </row>
    <row r="36" spans="1:7" ht="30" x14ac:dyDescent="0.25">
      <c r="A36" s="643"/>
      <c r="B36" s="109">
        <v>81.75</v>
      </c>
      <c r="C36" s="110">
        <v>5</v>
      </c>
      <c r="D36" s="109">
        <f t="shared" si="1"/>
        <v>408.75</v>
      </c>
      <c r="E36" s="125" t="s">
        <v>257</v>
      </c>
      <c r="F36" s="138" t="s">
        <v>244</v>
      </c>
      <c r="G36" s="139" t="s">
        <v>67</v>
      </c>
    </row>
    <row r="37" spans="1:7" ht="30" x14ac:dyDescent="0.25">
      <c r="A37" s="643"/>
      <c r="B37" s="109">
        <v>22.19</v>
      </c>
      <c r="C37" s="110">
        <v>3</v>
      </c>
      <c r="D37" s="109">
        <f t="shared" si="1"/>
        <v>66.570000000000007</v>
      </c>
      <c r="E37" s="111" t="s">
        <v>265</v>
      </c>
      <c r="F37" s="138" t="s">
        <v>244</v>
      </c>
      <c r="G37" s="139" t="s">
        <v>67</v>
      </c>
    </row>
    <row r="38" spans="1:7" ht="30" x14ac:dyDescent="0.25">
      <c r="A38" s="643"/>
      <c r="B38" s="109">
        <v>60.52</v>
      </c>
      <c r="C38" s="110">
        <v>3</v>
      </c>
      <c r="D38" s="109">
        <f t="shared" si="1"/>
        <v>181.56</v>
      </c>
      <c r="E38" s="111" t="s">
        <v>266</v>
      </c>
      <c r="F38" s="138" t="s">
        <v>244</v>
      </c>
      <c r="G38" s="139" t="s">
        <v>67</v>
      </c>
    </row>
    <row r="39" spans="1:7" ht="30" x14ac:dyDescent="0.25">
      <c r="A39" s="643"/>
      <c r="B39" s="143">
        <v>134.88999999999999</v>
      </c>
      <c r="C39" s="144">
        <v>3</v>
      </c>
      <c r="D39" s="143">
        <f t="shared" si="1"/>
        <v>404.66999999999996</v>
      </c>
      <c r="E39" s="145" t="s">
        <v>267</v>
      </c>
      <c r="F39" s="146" t="s">
        <v>244</v>
      </c>
      <c r="G39" s="147" t="s">
        <v>67</v>
      </c>
    </row>
    <row r="40" spans="1:7" ht="45" x14ac:dyDescent="0.25">
      <c r="A40" s="112">
        <v>42366</v>
      </c>
      <c r="B40" s="109">
        <v>100</v>
      </c>
      <c r="C40" s="110">
        <v>2</v>
      </c>
      <c r="D40" s="109">
        <f t="shared" si="1"/>
        <v>200</v>
      </c>
      <c r="E40" s="111" t="s">
        <v>268</v>
      </c>
      <c r="F40" s="131" t="s">
        <v>269</v>
      </c>
      <c r="G40" s="142">
        <v>92</v>
      </c>
    </row>
    <row r="41" spans="1:7" x14ac:dyDescent="0.25">
      <c r="C41" s="149" t="s">
        <v>270</v>
      </c>
      <c r="D41" s="150">
        <f>SUM(D2:D40)</f>
        <v>8614.86</v>
      </c>
    </row>
  </sheetData>
  <autoFilter ref="G1:G41"/>
  <mergeCells count="21">
    <mergeCell ref="A2:A4"/>
    <mergeCell ref="F2:F4"/>
    <mergeCell ref="G2:G4"/>
    <mergeCell ref="A11:A12"/>
    <mergeCell ref="F11:F12"/>
    <mergeCell ref="G11:G12"/>
    <mergeCell ref="A13:A17"/>
    <mergeCell ref="G14:G15"/>
    <mergeCell ref="F16:F17"/>
    <mergeCell ref="G16:G17"/>
    <mergeCell ref="A18:A23"/>
    <mergeCell ref="G18:G23"/>
    <mergeCell ref="F22:F23"/>
    <mergeCell ref="A32:A33"/>
    <mergeCell ref="A34:A39"/>
    <mergeCell ref="A25:A28"/>
    <mergeCell ref="F25:F28"/>
    <mergeCell ref="G25:G28"/>
    <mergeCell ref="A29:A31"/>
    <mergeCell ref="F29:F31"/>
    <mergeCell ref="G29:G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9"/>
  <sheetViews>
    <sheetView workbookViewId="0">
      <pane ySplit="1" topLeftCell="A17" activePane="bottomLeft" state="frozen"/>
      <selection pane="bottomLeft" activeCell="L31" sqref="L31"/>
    </sheetView>
  </sheetViews>
  <sheetFormatPr defaultRowHeight="15" x14ac:dyDescent="0.25"/>
  <cols>
    <col min="1" max="3" width="12.140625" style="191" customWidth="1"/>
    <col min="4" max="4" width="11.5703125" style="191" customWidth="1"/>
    <col min="5" max="5" width="41" style="214" customWidth="1"/>
    <col min="6" max="6" width="27" style="164" customWidth="1"/>
    <col min="7" max="7" width="18.28515625" style="164" customWidth="1"/>
    <col min="8" max="16384" width="9.140625" style="164"/>
  </cols>
  <sheetData>
    <row r="1" spans="1:7" ht="21.75" customHeight="1" x14ac:dyDescent="0.25">
      <c r="A1" s="163" t="s">
        <v>117</v>
      </c>
      <c r="B1" s="163" t="s">
        <v>119</v>
      </c>
      <c r="C1" s="163" t="s">
        <v>120</v>
      </c>
      <c r="D1" s="163" t="s">
        <v>121</v>
      </c>
      <c r="E1" s="163" t="s">
        <v>225</v>
      </c>
      <c r="F1" s="114" t="s">
        <v>226</v>
      </c>
      <c r="G1" s="114" t="s">
        <v>143</v>
      </c>
    </row>
    <row r="2" spans="1:7" s="171" customFormat="1" ht="9" customHeight="1" x14ac:dyDescent="0.25">
      <c r="A2" s="168"/>
      <c r="B2" s="168"/>
      <c r="C2" s="168"/>
      <c r="D2" s="168"/>
      <c r="E2" s="169"/>
      <c r="F2" s="170"/>
      <c r="G2" s="170"/>
    </row>
    <row r="3" spans="1:7" x14ac:dyDescent="0.25">
      <c r="A3" s="668">
        <v>42016</v>
      </c>
      <c r="B3" s="172"/>
      <c r="C3" s="172"/>
      <c r="D3" s="173">
        <v>1400</v>
      </c>
      <c r="E3" s="166" t="s">
        <v>275</v>
      </c>
      <c r="F3" s="167" t="s">
        <v>277</v>
      </c>
      <c r="G3" s="657" t="s">
        <v>67</v>
      </c>
    </row>
    <row r="4" spans="1:7" x14ac:dyDescent="0.25">
      <c r="A4" s="658"/>
      <c r="B4" s="163"/>
      <c r="C4" s="163"/>
      <c r="D4" s="173">
        <v>1125</v>
      </c>
      <c r="E4" s="166" t="s">
        <v>278</v>
      </c>
      <c r="F4" s="167" t="s">
        <v>277</v>
      </c>
      <c r="G4" s="658"/>
    </row>
    <row r="5" spans="1:7" x14ac:dyDescent="0.25">
      <c r="A5" s="658"/>
      <c r="B5" s="163"/>
      <c r="C5" s="163"/>
      <c r="D5" s="174">
        <v>1050</v>
      </c>
      <c r="E5" s="166" t="s">
        <v>279</v>
      </c>
      <c r="F5" s="167" t="s">
        <v>277</v>
      </c>
      <c r="G5" s="658"/>
    </row>
    <row r="6" spans="1:7" x14ac:dyDescent="0.25">
      <c r="A6" s="658"/>
      <c r="B6" s="163"/>
      <c r="C6" s="163"/>
      <c r="D6" s="173">
        <v>130</v>
      </c>
      <c r="E6" s="166" t="s">
        <v>280</v>
      </c>
      <c r="F6" s="167" t="s">
        <v>277</v>
      </c>
      <c r="G6" s="658"/>
    </row>
    <row r="7" spans="1:7" x14ac:dyDescent="0.25">
      <c r="A7" s="658"/>
      <c r="B7" s="163"/>
      <c r="C7" s="163"/>
      <c r="D7" s="173">
        <v>120</v>
      </c>
      <c r="E7" s="166" t="s">
        <v>281</v>
      </c>
      <c r="F7" s="167" t="s">
        <v>277</v>
      </c>
      <c r="G7" s="658"/>
    </row>
    <row r="8" spans="1:7" ht="30.75" thickBot="1" x14ac:dyDescent="0.3">
      <c r="A8" s="667"/>
      <c r="B8" s="175"/>
      <c r="C8" s="175"/>
      <c r="D8" s="176">
        <v>1026</v>
      </c>
      <c r="E8" s="177" t="s">
        <v>282</v>
      </c>
      <c r="F8" s="178" t="s">
        <v>277</v>
      </c>
      <c r="G8" s="667"/>
    </row>
    <row r="9" spans="1:7" x14ac:dyDescent="0.25">
      <c r="A9" s="669">
        <v>42025</v>
      </c>
      <c r="B9" s="179"/>
      <c r="C9" s="179"/>
      <c r="D9" s="180">
        <v>45.8</v>
      </c>
      <c r="E9" s="181" t="s">
        <v>283</v>
      </c>
      <c r="F9" s="670" t="s">
        <v>284</v>
      </c>
      <c r="G9" s="671">
        <v>90</v>
      </c>
    </row>
    <row r="10" spans="1:7" x14ac:dyDescent="0.25">
      <c r="A10" s="663"/>
      <c r="B10" s="172"/>
      <c r="C10" s="172"/>
      <c r="D10" s="173">
        <v>105.3</v>
      </c>
      <c r="E10" s="166" t="s">
        <v>285</v>
      </c>
      <c r="F10" s="665"/>
      <c r="G10" s="658"/>
    </row>
    <row r="11" spans="1:7" x14ac:dyDescent="0.25">
      <c r="A11" s="663"/>
      <c r="B11" s="172"/>
      <c r="C11" s="172"/>
      <c r="D11" s="173">
        <v>82.4</v>
      </c>
      <c r="E11" s="166" t="s">
        <v>286</v>
      </c>
      <c r="F11" s="665"/>
      <c r="G11" s="658"/>
    </row>
    <row r="12" spans="1:7" ht="15.75" thickBot="1" x14ac:dyDescent="0.3">
      <c r="A12" s="664"/>
      <c r="B12" s="182"/>
      <c r="C12" s="182"/>
      <c r="D12" s="176">
        <v>87</v>
      </c>
      <c r="E12" s="177" t="s">
        <v>287</v>
      </c>
      <c r="F12" s="666"/>
      <c r="G12" s="667"/>
    </row>
    <row r="13" spans="1:7" x14ac:dyDescent="0.25">
      <c r="A13" s="663">
        <v>42025</v>
      </c>
      <c r="B13" s="183"/>
      <c r="C13" s="183"/>
      <c r="D13" s="184">
        <v>104.4</v>
      </c>
      <c r="E13" s="185" t="s">
        <v>288</v>
      </c>
      <c r="F13" s="665" t="s">
        <v>289</v>
      </c>
      <c r="G13" s="658">
        <v>88</v>
      </c>
    </row>
    <row r="14" spans="1:7" ht="15.75" thickBot="1" x14ac:dyDescent="0.3">
      <c r="A14" s="664"/>
      <c r="B14" s="182"/>
      <c r="C14" s="182"/>
      <c r="D14" s="176">
        <v>25.7</v>
      </c>
      <c r="E14" s="177" t="s">
        <v>290</v>
      </c>
      <c r="F14" s="666"/>
      <c r="G14" s="667"/>
    </row>
    <row r="15" spans="1:7" ht="30.75" thickBot="1" x14ac:dyDescent="0.3">
      <c r="A15" s="186">
        <v>42025</v>
      </c>
      <c r="B15" s="186"/>
      <c r="C15" s="186"/>
      <c r="D15" s="187">
        <v>143.69999999999999</v>
      </c>
      <c r="E15" s="188" t="s">
        <v>291</v>
      </c>
      <c r="F15" s="189" t="s">
        <v>292</v>
      </c>
      <c r="G15" s="190" t="s">
        <v>67</v>
      </c>
    </row>
    <row r="16" spans="1:7" ht="15.75" thickBot="1" x14ac:dyDescent="0.3">
      <c r="A16" s="186">
        <v>42025</v>
      </c>
      <c r="B16" s="186"/>
      <c r="C16" s="186"/>
      <c r="D16" s="187">
        <v>150</v>
      </c>
      <c r="E16" s="188" t="s">
        <v>293</v>
      </c>
      <c r="F16" s="189" t="s">
        <v>289</v>
      </c>
      <c r="G16" s="190">
        <v>92</v>
      </c>
    </row>
    <row r="17" spans="1:7" ht="15.75" thickBot="1" x14ac:dyDescent="0.3">
      <c r="A17" s="186">
        <v>42025</v>
      </c>
      <c r="B17" s="186"/>
      <c r="C17" s="186"/>
      <c r="D17" s="187">
        <v>200</v>
      </c>
      <c r="E17" s="188" t="s">
        <v>294</v>
      </c>
      <c r="F17" s="189" t="s">
        <v>289</v>
      </c>
      <c r="G17" s="190">
        <v>92</v>
      </c>
    </row>
    <row r="18" spans="1:7" ht="15.75" thickBot="1" x14ac:dyDescent="0.3">
      <c r="A18" s="186">
        <v>42025</v>
      </c>
      <c r="B18" s="186"/>
      <c r="C18" s="186"/>
      <c r="D18" s="187">
        <v>300</v>
      </c>
      <c r="E18" s="188" t="s">
        <v>295</v>
      </c>
      <c r="F18" s="189" t="s">
        <v>296</v>
      </c>
      <c r="G18" s="190" t="s">
        <v>67</v>
      </c>
    </row>
    <row r="19" spans="1:7" ht="30.75" thickBot="1" x14ac:dyDescent="0.3">
      <c r="A19" s="186">
        <v>42040</v>
      </c>
      <c r="B19" s="186"/>
      <c r="C19" s="192">
        <v>1</v>
      </c>
      <c r="D19" s="187">
        <v>510</v>
      </c>
      <c r="E19" s="188" t="s">
        <v>297</v>
      </c>
      <c r="F19" s="189" t="s">
        <v>289</v>
      </c>
      <c r="G19" s="190">
        <v>92</v>
      </c>
    </row>
    <row r="20" spans="1:7" ht="15.75" thickBot="1" x14ac:dyDescent="0.3">
      <c r="A20" s="186" t="s">
        <v>230</v>
      </c>
      <c r="B20" s="186"/>
      <c r="C20" s="192">
        <v>1</v>
      </c>
      <c r="D20" s="193" t="s">
        <v>298</v>
      </c>
      <c r="E20" s="188" t="s">
        <v>299</v>
      </c>
      <c r="F20" s="189" t="s">
        <v>289</v>
      </c>
      <c r="G20" s="190">
        <v>90</v>
      </c>
    </row>
    <row r="21" spans="1:7" ht="15.75" thickBot="1" x14ac:dyDescent="0.3">
      <c r="A21" s="186" t="s">
        <v>230</v>
      </c>
      <c r="B21" s="186"/>
      <c r="C21" s="192">
        <v>1</v>
      </c>
      <c r="D21" s="187">
        <v>60</v>
      </c>
      <c r="E21" s="188" t="s">
        <v>300</v>
      </c>
      <c r="F21" s="189" t="s">
        <v>289</v>
      </c>
      <c r="G21" s="190">
        <v>90</v>
      </c>
    </row>
    <row r="22" spans="1:7" ht="15.75" thickBot="1" x14ac:dyDescent="0.3">
      <c r="A22" s="194">
        <v>42066</v>
      </c>
      <c r="B22" s="194"/>
      <c r="C22" s="192">
        <v>1</v>
      </c>
      <c r="D22" s="193">
        <v>74.8</v>
      </c>
      <c r="E22" s="188" t="s">
        <v>301</v>
      </c>
      <c r="F22" s="189"/>
      <c r="G22" s="190">
        <v>90</v>
      </c>
    </row>
    <row r="23" spans="1:7" ht="18.75" customHeight="1" thickBot="1" x14ac:dyDescent="0.3">
      <c r="A23" s="194">
        <v>42066</v>
      </c>
      <c r="B23" s="194"/>
      <c r="C23" s="192">
        <v>1</v>
      </c>
      <c r="D23" s="192">
        <v>25</v>
      </c>
      <c r="E23" s="188" t="s">
        <v>302</v>
      </c>
      <c r="F23" s="189" t="s">
        <v>289</v>
      </c>
      <c r="G23" s="161">
        <v>88</v>
      </c>
    </row>
    <row r="24" spans="1:7" ht="30" x14ac:dyDescent="0.25">
      <c r="A24" s="663">
        <v>42088</v>
      </c>
      <c r="B24" s="195">
        <v>45</v>
      </c>
      <c r="C24" s="196">
        <v>25</v>
      </c>
      <c r="D24" s="195">
        <v>1125</v>
      </c>
      <c r="E24" s="185" t="s">
        <v>303</v>
      </c>
      <c r="F24" s="118" t="s">
        <v>277</v>
      </c>
      <c r="G24" s="118" t="s">
        <v>304</v>
      </c>
    </row>
    <row r="25" spans="1:7" ht="15.75" thickBot="1" x14ac:dyDescent="0.3">
      <c r="A25" s="667"/>
      <c r="B25" s="197">
        <v>15</v>
      </c>
      <c r="C25" s="198">
        <v>20</v>
      </c>
      <c r="D25" s="197">
        <v>300</v>
      </c>
      <c r="E25" s="177" t="s">
        <v>305</v>
      </c>
      <c r="F25" s="178" t="s">
        <v>277</v>
      </c>
      <c r="G25" s="175" t="s">
        <v>67</v>
      </c>
    </row>
    <row r="26" spans="1:7" x14ac:dyDescent="0.25">
      <c r="A26" s="663">
        <v>42138</v>
      </c>
      <c r="B26" s="195">
        <v>26</v>
      </c>
      <c r="C26" s="196">
        <v>25</v>
      </c>
      <c r="D26" s="195">
        <f>B26*C26</f>
        <v>650</v>
      </c>
      <c r="E26" s="185" t="s">
        <v>281</v>
      </c>
      <c r="F26" s="118" t="s">
        <v>277</v>
      </c>
      <c r="G26" s="199" t="s">
        <v>67</v>
      </c>
    </row>
    <row r="27" spans="1:7" ht="30" x14ac:dyDescent="0.25">
      <c r="A27" s="663"/>
      <c r="B27" s="165">
        <v>50</v>
      </c>
      <c r="C27" s="162">
        <v>25</v>
      </c>
      <c r="D27" s="165">
        <f>B27*C27</f>
        <v>1250</v>
      </c>
      <c r="E27" s="166" t="s">
        <v>303</v>
      </c>
      <c r="F27" s="167" t="s">
        <v>277</v>
      </c>
      <c r="G27" s="163" t="s">
        <v>67</v>
      </c>
    </row>
    <row r="28" spans="1:7" x14ac:dyDescent="0.25">
      <c r="A28" s="663"/>
      <c r="B28" s="165">
        <v>15</v>
      </c>
      <c r="C28" s="162">
        <v>50</v>
      </c>
      <c r="D28" s="165">
        <f t="shared" ref="D28:D38" si="0">B28*C28</f>
        <v>750</v>
      </c>
      <c r="E28" s="166" t="s">
        <v>306</v>
      </c>
      <c r="F28" s="167" t="s">
        <v>277</v>
      </c>
      <c r="G28" s="163" t="s">
        <v>67</v>
      </c>
    </row>
    <row r="29" spans="1:7" ht="15.75" thickBot="1" x14ac:dyDescent="0.3">
      <c r="A29" s="664"/>
      <c r="B29" s="197">
        <v>175</v>
      </c>
      <c r="C29" s="198">
        <v>2</v>
      </c>
      <c r="D29" s="197">
        <f t="shared" si="0"/>
        <v>350</v>
      </c>
      <c r="E29" s="177" t="s">
        <v>307</v>
      </c>
      <c r="F29" s="178" t="s">
        <v>277</v>
      </c>
      <c r="G29" s="175">
        <v>88</v>
      </c>
    </row>
    <row r="30" spans="1:7" ht="30.75" thickBot="1" x14ac:dyDescent="0.3">
      <c r="A30" s="202">
        <v>42157</v>
      </c>
      <c r="B30" s="203">
        <v>260</v>
      </c>
      <c r="C30" s="204">
        <v>1</v>
      </c>
      <c r="D30" s="203">
        <f t="shared" si="0"/>
        <v>260</v>
      </c>
      <c r="E30" s="205" t="s">
        <v>308</v>
      </c>
      <c r="F30" s="206" t="s">
        <v>309</v>
      </c>
      <c r="G30" s="207" t="s">
        <v>310</v>
      </c>
    </row>
    <row r="31" spans="1:7" x14ac:dyDescent="0.25">
      <c r="A31" s="660">
        <v>42165</v>
      </c>
      <c r="B31" s="200">
        <v>12</v>
      </c>
      <c r="C31" s="201">
        <v>100</v>
      </c>
      <c r="D31" s="200">
        <f t="shared" si="0"/>
        <v>1200</v>
      </c>
      <c r="E31" s="181" t="s">
        <v>311</v>
      </c>
      <c r="F31" s="208"/>
      <c r="G31" s="208"/>
    </row>
    <row r="32" spans="1:7" x14ac:dyDescent="0.25">
      <c r="A32" s="661"/>
      <c r="B32" s="165">
        <v>45</v>
      </c>
      <c r="C32" s="162">
        <v>3</v>
      </c>
      <c r="D32" s="165">
        <f t="shared" si="0"/>
        <v>135</v>
      </c>
      <c r="E32" s="166" t="s">
        <v>312</v>
      </c>
      <c r="F32" s="167"/>
      <c r="G32" s="167"/>
    </row>
    <row r="33" spans="1:7" ht="30" x14ac:dyDescent="0.25">
      <c r="A33" s="661"/>
      <c r="B33" s="165">
        <v>15</v>
      </c>
      <c r="C33" s="162">
        <v>4</v>
      </c>
      <c r="D33" s="165">
        <f t="shared" si="0"/>
        <v>60</v>
      </c>
      <c r="E33" s="166" t="s">
        <v>313</v>
      </c>
      <c r="F33" s="167"/>
      <c r="G33" s="167"/>
    </row>
    <row r="34" spans="1:7" ht="30.75" thickBot="1" x14ac:dyDescent="0.3">
      <c r="A34" s="662"/>
      <c r="B34" s="197">
        <v>50</v>
      </c>
      <c r="C34" s="198">
        <v>2</v>
      </c>
      <c r="D34" s="197">
        <f t="shared" si="0"/>
        <v>100</v>
      </c>
      <c r="E34" s="177" t="s">
        <v>314</v>
      </c>
      <c r="F34" s="178"/>
      <c r="G34" s="178"/>
    </row>
    <row r="35" spans="1:7" ht="18" customHeight="1" thickBot="1" x14ac:dyDescent="0.3">
      <c r="A35" s="194">
        <v>42181</v>
      </c>
      <c r="B35" s="209">
        <v>1180</v>
      </c>
      <c r="C35" s="192">
        <v>1</v>
      </c>
      <c r="D35" s="209">
        <f t="shared" si="0"/>
        <v>1180</v>
      </c>
      <c r="E35" s="210" t="s">
        <v>315</v>
      </c>
      <c r="F35" s="189"/>
      <c r="G35" s="190" t="s">
        <v>261</v>
      </c>
    </row>
    <row r="36" spans="1:7" ht="30.75" thickBot="1" x14ac:dyDescent="0.3">
      <c r="A36" s="202">
        <v>42317</v>
      </c>
      <c r="B36" s="203">
        <v>18.899999999999999</v>
      </c>
      <c r="C36" s="204">
        <v>53</v>
      </c>
      <c r="D36" s="203">
        <f t="shared" si="0"/>
        <v>1001.6999999999999</v>
      </c>
      <c r="E36" s="205" t="s">
        <v>316</v>
      </c>
      <c r="F36" s="206" t="s">
        <v>317</v>
      </c>
      <c r="G36" s="206" t="s">
        <v>67</v>
      </c>
    </row>
    <row r="37" spans="1:7" ht="15.75" thickBot="1" x14ac:dyDescent="0.3">
      <c r="A37" s="202">
        <v>42347</v>
      </c>
      <c r="B37" s="203">
        <v>82</v>
      </c>
      <c r="C37" s="204">
        <v>5</v>
      </c>
      <c r="D37" s="203">
        <f t="shared" si="0"/>
        <v>410</v>
      </c>
      <c r="E37" s="205" t="s">
        <v>318</v>
      </c>
      <c r="F37" s="206" t="s">
        <v>319</v>
      </c>
      <c r="G37" s="207" t="s">
        <v>261</v>
      </c>
    </row>
    <row r="38" spans="1:7" ht="30.75" thickBot="1" x14ac:dyDescent="0.3">
      <c r="A38" s="202">
        <v>42361</v>
      </c>
      <c r="B38" s="203">
        <v>600</v>
      </c>
      <c r="C38" s="211">
        <v>3</v>
      </c>
      <c r="D38" s="203">
        <f t="shared" si="0"/>
        <v>1800</v>
      </c>
      <c r="E38" s="205" t="s">
        <v>320</v>
      </c>
      <c r="F38" s="206" t="s">
        <v>321</v>
      </c>
      <c r="G38" s="207">
        <v>92</v>
      </c>
    </row>
    <row r="39" spans="1:7" ht="30" x14ac:dyDescent="0.25">
      <c r="A39" s="216"/>
      <c r="B39" s="217"/>
      <c r="C39" s="221" t="s">
        <v>322</v>
      </c>
      <c r="D39" s="222">
        <f>SUM(D3:D38)</f>
        <v>17336.8</v>
      </c>
      <c r="E39" s="213"/>
      <c r="F39" s="117"/>
      <c r="G39" s="117"/>
    </row>
    <row r="40" spans="1:7" s="220" customFormat="1" x14ac:dyDescent="0.25">
      <c r="A40" s="218"/>
      <c r="B40" s="218"/>
      <c r="C40" s="218"/>
      <c r="D40" s="218"/>
      <c r="E40" s="219"/>
    </row>
    <row r="41" spans="1:7" s="220" customFormat="1" x14ac:dyDescent="0.25">
      <c r="A41" s="218"/>
      <c r="B41" s="218"/>
      <c r="C41" s="218"/>
      <c r="D41" s="218"/>
      <c r="E41" s="219"/>
    </row>
    <row r="42" spans="1:7" s="220" customFormat="1" x14ac:dyDescent="0.25">
      <c r="A42" s="218"/>
      <c r="B42" s="218"/>
      <c r="C42" s="218"/>
      <c r="D42" s="218"/>
      <c r="E42" s="219"/>
    </row>
    <row r="43" spans="1:7" s="220" customFormat="1" x14ac:dyDescent="0.25">
      <c r="A43" s="218"/>
      <c r="B43" s="218"/>
      <c r="C43" s="218"/>
      <c r="D43" s="218"/>
      <c r="E43" s="219"/>
    </row>
    <row r="44" spans="1:7" s="220" customFormat="1" x14ac:dyDescent="0.25">
      <c r="A44" s="218"/>
      <c r="B44" s="218"/>
      <c r="C44" s="218"/>
      <c r="D44" s="218"/>
      <c r="E44" s="219"/>
    </row>
    <row r="45" spans="1:7" s="220" customFormat="1" x14ac:dyDescent="0.25">
      <c r="A45" s="218"/>
      <c r="B45" s="218"/>
      <c r="C45" s="218"/>
      <c r="D45" s="218"/>
      <c r="E45" s="219"/>
    </row>
    <row r="46" spans="1:7" s="220" customFormat="1" x14ac:dyDescent="0.25">
      <c r="A46" s="218"/>
      <c r="B46" s="218"/>
      <c r="C46" s="218"/>
      <c r="D46" s="218"/>
      <c r="E46" s="219"/>
    </row>
    <row r="47" spans="1:7" s="220" customFormat="1" x14ac:dyDescent="0.25">
      <c r="A47" s="218"/>
      <c r="B47" s="218"/>
      <c r="C47" s="218"/>
      <c r="D47" s="218"/>
      <c r="E47" s="219"/>
    </row>
    <row r="48" spans="1:7" s="220" customFormat="1" x14ac:dyDescent="0.25">
      <c r="A48" s="218"/>
      <c r="B48" s="218"/>
      <c r="C48" s="218"/>
      <c r="D48" s="218"/>
      <c r="E48" s="219"/>
    </row>
    <row r="49" spans="1:5" s="220" customFormat="1" x14ac:dyDescent="0.25">
      <c r="A49" s="218"/>
      <c r="B49" s="218"/>
      <c r="C49" s="218"/>
      <c r="D49" s="218"/>
      <c r="E49" s="219"/>
    </row>
    <row r="50" spans="1:5" s="220" customFormat="1" x14ac:dyDescent="0.25">
      <c r="A50" s="218"/>
      <c r="B50" s="218"/>
      <c r="C50" s="218"/>
      <c r="D50" s="218"/>
      <c r="E50" s="219"/>
    </row>
    <row r="51" spans="1:5" s="220" customFormat="1" x14ac:dyDescent="0.25">
      <c r="A51" s="218"/>
      <c r="B51" s="218"/>
      <c r="C51" s="218"/>
      <c r="D51" s="218"/>
      <c r="E51" s="219"/>
    </row>
    <row r="52" spans="1:5" s="220" customFormat="1" x14ac:dyDescent="0.25">
      <c r="A52" s="218"/>
      <c r="B52" s="218"/>
      <c r="C52" s="218"/>
      <c r="D52" s="218"/>
      <c r="E52" s="219"/>
    </row>
    <row r="53" spans="1:5" s="220" customFormat="1" x14ac:dyDescent="0.25">
      <c r="A53" s="218"/>
      <c r="B53" s="218"/>
      <c r="C53" s="218"/>
      <c r="D53" s="218"/>
      <c r="E53" s="219"/>
    </row>
    <row r="54" spans="1:5" s="220" customFormat="1" x14ac:dyDescent="0.25">
      <c r="A54" s="218"/>
      <c r="B54" s="218"/>
      <c r="C54" s="218"/>
      <c r="D54" s="218"/>
      <c r="E54" s="219"/>
    </row>
    <row r="55" spans="1:5" s="220" customFormat="1" x14ac:dyDescent="0.25">
      <c r="A55" s="218"/>
      <c r="B55" s="218"/>
      <c r="C55" s="218"/>
      <c r="D55" s="218"/>
      <c r="E55" s="219"/>
    </row>
    <row r="56" spans="1:5" s="220" customFormat="1" x14ac:dyDescent="0.25">
      <c r="A56" s="218"/>
      <c r="B56" s="218"/>
      <c r="C56" s="218"/>
      <c r="D56" s="218"/>
      <c r="E56" s="219"/>
    </row>
    <row r="57" spans="1:5" s="220" customFormat="1" x14ac:dyDescent="0.25">
      <c r="A57" s="218"/>
      <c r="B57" s="218"/>
      <c r="C57" s="218"/>
      <c r="D57" s="218"/>
      <c r="E57" s="219"/>
    </row>
    <row r="58" spans="1:5" s="220" customFormat="1" x14ac:dyDescent="0.25">
      <c r="A58" s="218"/>
      <c r="B58" s="218"/>
      <c r="C58" s="218"/>
      <c r="D58" s="218"/>
      <c r="E58" s="219"/>
    </row>
    <row r="59" spans="1:5" s="220" customFormat="1" x14ac:dyDescent="0.25">
      <c r="A59" s="218"/>
      <c r="B59" s="218"/>
      <c r="C59" s="218"/>
      <c r="D59" s="218"/>
      <c r="E59" s="219"/>
    </row>
    <row r="60" spans="1:5" s="220" customFormat="1" x14ac:dyDescent="0.25">
      <c r="A60" s="218"/>
      <c r="B60" s="218"/>
      <c r="C60" s="218"/>
      <c r="D60" s="218"/>
      <c r="E60" s="219"/>
    </row>
    <row r="61" spans="1:5" s="220" customFormat="1" x14ac:dyDescent="0.25">
      <c r="A61" s="218"/>
      <c r="B61" s="218"/>
      <c r="C61" s="218"/>
      <c r="D61" s="218"/>
      <c r="E61" s="219"/>
    </row>
    <row r="62" spans="1:5" s="220" customFormat="1" x14ac:dyDescent="0.25">
      <c r="A62" s="218"/>
      <c r="B62" s="218"/>
      <c r="C62" s="218"/>
      <c r="D62" s="218"/>
      <c r="E62" s="219"/>
    </row>
    <row r="63" spans="1:5" s="220" customFormat="1" x14ac:dyDescent="0.25">
      <c r="A63" s="218"/>
      <c r="B63" s="218"/>
      <c r="C63" s="218"/>
      <c r="D63" s="218"/>
      <c r="E63" s="219"/>
    </row>
    <row r="64" spans="1:5" s="220" customFormat="1" x14ac:dyDescent="0.25">
      <c r="A64" s="218"/>
      <c r="B64" s="218"/>
      <c r="C64" s="218"/>
      <c r="D64" s="218"/>
      <c r="E64" s="219"/>
    </row>
    <row r="65" spans="1:5" s="220" customFormat="1" x14ac:dyDescent="0.25">
      <c r="A65" s="218"/>
      <c r="B65" s="218"/>
      <c r="C65" s="218"/>
      <c r="D65" s="218"/>
      <c r="E65" s="219"/>
    </row>
    <row r="66" spans="1:5" s="220" customFormat="1" x14ac:dyDescent="0.25">
      <c r="A66" s="218"/>
      <c r="B66" s="218"/>
      <c r="C66" s="218"/>
      <c r="D66" s="218"/>
      <c r="E66" s="219"/>
    </row>
    <row r="67" spans="1:5" s="220" customFormat="1" x14ac:dyDescent="0.25">
      <c r="A67" s="218"/>
      <c r="B67" s="218"/>
      <c r="C67" s="218"/>
      <c r="D67" s="218"/>
      <c r="E67" s="219"/>
    </row>
    <row r="68" spans="1:5" s="220" customFormat="1" x14ac:dyDescent="0.25">
      <c r="A68" s="218"/>
      <c r="B68" s="218"/>
      <c r="C68" s="218"/>
      <c r="D68" s="218"/>
      <c r="E68" s="219"/>
    </row>
    <row r="69" spans="1:5" s="220" customFormat="1" x14ac:dyDescent="0.25">
      <c r="A69" s="218"/>
      <c r="B69" s="218"/>
      <c r="C69" s="218"/>
      <c r="D69" s="218"/>
      <c r="E69" s="219"/>
    </row>
    <row r="70" spans="1:5" s="220" customFormat="1" x14ac:dyDescent="0.25">
      <c r="A70" s="218"/>
      <c r="B70" s="218"/>
      <c r="C70" s="218"/>
      <c r="D70" s="218"/>
      <c r="E70" s="219"/>
    </row>
    <row r="71" spans="1:5" s="220" customFormat="1" x14ac:dyDescent="0.25">
      <c r="A71" s="218"/>
      <c r="B71" s="218"/>
      <c r="C71" s="218"/>
      <c r="D71" s="218"/>
      <c r="E71" s="219"/>
    </row>
    <row r="72" spans="1:5" s="220" customFormat="1" x14ac:dyDescent="0.25">
      <c r="A72" s="218"/>
      <c r="B72" s="218"/>
      <c r="C72" s="218"/>
      <c r="D72" s="218"/>
      <c r="E72" s="219"/>
    </row>
    <row r="73" spans="1:5" s="220" customFormat="1" x14ac:dyDescent="0.25">
      <c r="A73" s="218"/>
      <c r="B73" s="218"/>
      <c r="C73" s="218"/>
      <c r="D73" s="218"/>
      <c r="E73" s="219"/>
    </row>
    <row r="74" spans="1:5" s="220" customFormat="1" x14ac:dyDescent="0.25">
      <c r="A74" s="218"/>
      <c r="B74" s="218"/>
      <c r="C74" s="218"/>
      <c r="D74" s="218"/>
      <c r="E74" s="219"/>
    </row>
    <row r="75" spans="1:5" s="220" customFormat="1" x14ac:dyDescent="0.25">
      <c r="A75" s="218"/>
      <c r="B75" s="218"/>
      <c r="C75" s="218"/>
      <c r="D75" s="218"/>
      <c r="E75" s="219"/>
    </row>
    <row r="76" spans="1:5" s="220" customFormat="1" x14ac:dyDescent="0.25">
      <c r="A76" s="218"/>
      <c r="B76" s="218"/>
      <c r="C76" s="218"/>
      <c r="D76" s="218"/>
      <c r="E76" s="219"/>
    </row>
    <row r="77" spans="1:5" s="220" customFormat="1" x14ac:dyDescent="0.25">
      <c r="A77" s="218"/>
      <c r="B77" s="218"/>
      <c r="C77" s="218"/>
      <c r="D77" s="218"/>
      <c r="E77" s="219"/>
    </row>
    <row r="78" spans="1:5" s="220" customFormat="1" x14ac:dyDescent="0.25">
      <c r="A78" s="218"/>
      <c r="B78" s="218"/>
      <c r="C78" s="218"/>
      <c r="D78" s="218"/>
      <c r="E78" s="219"/>
    </row>
    <row r="79" spans="1:5" s="220" customFormat="1" x14ac:dyDescent="0.25">
      <c r="A79" s="218"/>
      <c r="B79" s="218"/>
      <c r="C79" s="218"/>
      <c r="D79" s="218"/>
      <c r="E79" s="219"/>
    </row>
    <row r="80" spans="1:5" s="220" customFormat="1" x14ac:dyDescent="0.25">
      <c r="A80" s="218"/>
      <c r="B80" s="218"/>
      <c r="C80" s="218"/>
      <c r="D80" s="218"/>
      <c r="E80" s="219"/>
    </row>
    <row r="81" spans="1:7" s="220" customFormat="1" x14ac:dyDescent="0.25">
      <c r="A81" s="218"/>
      <c r="B81" s="218"/>
      <c r="C81" s="218"/>
      <c r="D81" s="218"/>
      <c r="E81" s="219"/>
    </row>
    <row r="82" spans="1:7" s="220" customFormat="1" x14ac:dyDescent="0.25">
      <c r="A82" s="218"/>
      <c r="B82" s="218"/>
      <c r="C82" s="218"/>
      <c r="D82" s="218"/>
      <c r="E82" s="219"/>
    </row>
    <row r="83" spans="1:7" s="220" customFormat="1" x14ac:dyDescent="0.25">
      <c r="A83" s="218"/>
      <c r="B83" s="218"/>
      <c r="C83" s="218"/>
      <c r="D83" s="218"/>
      <c r="E83" s="219"/>
    </row>
    <row r="84" spans="1:7" s="220" customFormat="1" x14ac:dyDescent="0.25">
      <c r="A84" s="218"/>
      <c r="B84" s="218"/>
      <c r="C84" s="218"/>
      <c r="D84" s="218"/>
      <c r="E84" s="219"/>
    </row>
    <row r="85" spans="1:7" x14ac:dyDescent="0.25">
      <c r="A85" s="196"/>
      <c r="B85" s="196"/>
      <c r="C85" s="196"/>
      <c r="D85" s="196"/>
      <c r="E85" s="185"/>
      <c r="F85" s="118"/>
      <c r="G85" s="118"/>
    </row>
    <row r="86" spans="1:7" x14ac:dyDescent="0.25">
      <c r="A86" s="162"/>
      <c r="B86" s="162"/>
      <c r="C86" s="162"/>
      <c r="D86" s="162"/>
      <c r="E86" s="166"/>
      <c r="F86" s="167"/>
      <c r="G86" s="167"/>
    </row>
    <row r="87" spans="1:7" x14ac:dyDescent="0.25">
      <c r="A87" s="162"/>
      <c r="B87" s="162"/>
      <c r="C87" s="162"/>
      <c r="D87" s="162"/>
      <c r="E87" s="166"/>
      <c r="F87" s="167"/>
      <c r="G87" s="167"/>
    </row>
    <row r="88" spans="1:7" x14ac:dyDescent="0.25">
      <c r="A88" s="162"/>
      <c r="B88" s="162"/>
      <c r="C88" s="162"/>
      <c r="D88" s="162"/>
      <c r="E88" s="166"/>
      <c r="F88" s="167"/>
      <c r="G88" s="167"/>
    </row>
    <row r="89" spans="1:7" x14ac:dyDescent="0.25">
      <c r="A89" s="162"/>
      <c r="B89" s="162"/>
      <c r="C89" s="162"/>
      <c r="D89" s="162"/>
      <c r="E89" s="166"/>
      <c r="F89" s="167"/>
      <c r="G89" s="167"/>
    </row>
    <row r="90" spans="1:7" x14ac:dyDescent="0.25">
      <c r="A90" s="162"/>
      <c r="B90" s="162"/>
      <c r="C90" s="162"/>
      <c r="D90" s="162"/>
      <c r="E90" s="166"/>
      <c r="F90" s="167"/>
      <c r="G90" s="167"/>
    </row>
    <row r="91" spans="1:7" x14ac:dyDescent="0.25">
      <c r="A91" s="162"/>
      <c r="B91" s="162"/>
      <c r="C91" s="162"/>
      <c r="D91" s="162"/>
      <c r="E91" s="166"/>
      <c r="F91" s="167"/>
      <c r="G91" s="167"/>
    </row>
    <row r="92" spans="1:7" x14ac:dyDescent="0.25">
      <c r="A92" s="162"/>
      <c r="B92" s="162"/>
      <c r="C92" s="162"/>
      <c r="D92" s="162"/>
      <c r="E92" s="166"/>
      <c r="F92" s="167"/>
      <c r="G92" s="167"/>
    </row>
    <row r="93" spans="1:7" x14ac:dyDescent="0.25">
      <c r="A93" s="162"/>
      <c r="B93" s="162"/>
      <c r="C93" s="162"/>
      <c r="D93" s="162"/>
      <c r="E93" s="166"/>
      <c r="F93" s="167"/>
      <c r="G93" s="167"/>
    </row>
    <row r="94" spans="1:7" x14ac:dyDescent="0.25">
      <c r="A94" s="162"/>
      <c r="B94" s="162"/>
      <c r="C94" s="162"/>
      <c r="D94" s="162"/>
      <c r="E94" s="166"/>
      <c r="F94" s="167"/>
      <c r="G94" s="167"/>
    </row>
    <row r="95" spans="1:7" x14ac:dyDescent="0.25">
      <c r="A95" s="162"/>
      <c r="B95" s="162"/>
      <c r="C95" s="162"/>
      <c r="D95" s="162"/>
      <c r="E95" s="166"/>
      <c r="F95" s="167"/>
      <c r="G95" s="167"/>
    </row>
    <row r="96" spans="1:7" x14ac:dyDescent="0.25">
      <c r="A96" s="162"/>
      <c r="B96" s="162"/>
      <c r="C96" s="162"/>
      <c r="D96" s="162"/>
      <c r="E96" s="166"/>
      <c r="F96" s="167"/>
      <c r="G96" s="167"/>
    </row>
    <row r="97" spans="1:7" x14ac:dyDescent="0.25">
      <c r="A97" s="162"/>
      <c r="B97" s="162"/>
      <c r="C97" s="162"/>
      <c r="D97" s="162"/>
      <c r="E97" s="166"/>
      <c r="F97" s="167"/>
      <c r="G97" s="167"/>
    </row>
    <row r="98" spans="1:7" x14ac:dyDescent="0.25">
      <c r="A98" s="162"/>
      <c r="B98" s="162"/>
      <c r="C98" s="162"/>
      <c r="D98" s="162"/>
      <c r="E98" s="166"/>
      <c r="F98" s="167"/>
      <c r="G98" s="167"/>
    </row>
    <row r="99" spans="1:7" x14ac:dyDescent="0.25">
      <c r="A99" s="162"/>
      <c r="B99" s="162"/>
      <c r="C99" s="162"/>
      <c r="D99" s="162"/>
      <c r="E99" s="166"/>
      <c r="F99" s="167"/>
      <c r="G99" s="167"/>
    </row>
    <row r="100" spans="1:7" x14ac:dyDescent="0.25">
      <c r="A100" s="162"/>
      <c r="B100" s="162"/>
      <c r="C100" s="162"/>
      <c r="D100" s="162"/>
      <c r="E100" s="166"/>
      <c r="F100" s="167"/>
      <c r="G100" s="167"/>
    </row>
    <row r="101" spans="1:7" x14ac:dyDescent="0.25">
      <c r="A101" s="162"/>
      <c r="B101" s="162"/>
      <c r="C101" s="162"/>
      <c r="D101" s="162"/>
      <c r="E101" s="166"/>
      <c r="F101" s="167"/>
      <c r="G101" s="167"/>
    </row>
    <row r="102" spans="1:7" x14ac:dyDescent="0.25">
      <c r="A102" s="162"/>
      <c r="B102" s="162"/>
      <c r="C102" s="162"/>
      <c r="D102" s="162"/>
      <c r="E102" s="166"/>
      <c r="F102" s="167"/>
      <c r="G102" s="167"/>
    </row>
    <row r="103" spans="1:7" x14ac:dyDescent="0.25">
      <c r="A103" s="162"/>
      <c r="B103" s="162"/>
      <c r="C103" s="162"/>
      <c r="D103" s="162"/>
      <c r="E103" s="166"/>
      <c r="F103" s="167"/>
      <c r="G103" s="167"/>
    </row>
    <row r="104" spans="1:7" x14ac:dyDescent="0.25">
      <c r="A104" s="162"/>
      <c r="B104" s="162"/>
      <c r="C104" s="162"/>
      <c r="D104" s="162"/>
      <c r="E104" s="166"/>
      <c r="F104" s="167"/>
      <c r="G104" s="167"/>
    </row>
    <row r="105" spans="1:7" x14ac:dyDescent="0.25">
      <c r="A105" s="162"/>
      <c r="B105" s="162"/>
      <c r="C105" s="162"/>
      <c r="D105" s="162"/>
      <c r="E105" s="166"/>
      <c r="F105" s="167"/>
      <c r="G105" s="167"/>
    </row>
    <row r="106" spans="1:7" x14ac:dyDescent="0.25">
      <c r="A106" s="162"/>
      <c r="B106" s="162"/>
      <c r="C106" s="162"/>
      <c r="D106" s="162"/>
      <c r="E106" s="166"/>
      <c r="F106" s="167"/>
      <c r="G106" s="167"/>
    </row>
    <row r="107" spans="1:7" x14ac:dyDescent="0.25">
      <c r="A107" s="162"/>
      <c r="B107" s="162"/>
      <c r="C107" s="162"/>
      <c r="D107" s="162"/>
      <c r="E107" s="166"/>
      <c r="F107" s="167"/>
      <c r="G107" s="167"/>
    </row>
    <row r="108" spans="1:7" x14ac:dyDescent="0.25">
      <c r="A108" s="162"/>
      <c r="B108" s="162"/>
      <c r="C108" s="162"/>
      <c r="D108" s="162"/>
      <c r="E108" s="166"/>
      <c r="F108" s="167"/>
      <c r="G108" s="167"/>
    </row>
    <row r="109" spans="1:7" x14ac:dyDescent="0.25">
      <c r="A109" s="162"/>
      <c r="B109" s="162"/>
      <c r="C109" s="162"/>
      <c r="D109" s="162"/>
      <c r="E109" s="166"/>
      <c r="F109" s="167"/>
      <c r="G109" s="167"/>
    </row>
    <row r="110" spans="1:7" x14ac:dyDescent="0.25">
      <c r="A110" s="162"/>
      <c r="B110" s="162"/>
      <c r="C110" s="162"/>
      <c r="D110" s="162"/>
      <c r="E110" s="166"/>
      <c r="F110" s="167"/>
      <c r="G110" s="167"/>
    </row>
    <row r="111" spans="1:7" x14ac:dyDescent="0.25">
      <c r="A111" s="162"/>
      <c r="B111" s="162"/>
      <c r="C111" s="162"/>
      <c r="D111" s="162"/>
      <c r="E111" s="166"/>
      <c r="F111" s="167"/>
      <c r="G111" s="167"/>
    </row>
    <row r="112" spans="1:7" x14ac:dyDescent="0.25">
      <c r="A112" s="162"/>
      <c r="B112" s="162"/>
      <c r="C112" s="162"/>
      <c r="D112" s="162"/>
      <c r="E112" s="166"/>
      <c r="F112" s="167"/>
      <c r="G112" s="167"/>
    </row>
    <row r="113" spans="1:7" x14ac:dyDescent="0.25">
      <c r="A113" s="162"/>
      <c r="B113" s="162"/>
      <c r="C113" s="162"/>
      <c r="D113" s="162"/>
      <c r="E113" s="166"/>
      <c r="F113" s="167"/>
      <c r="G113" s="167"/>
    </row>
    <row r="114" spans="1:7" x14ac:dyDescent="0.25">
      <c r="A114" s="162"/>
      <c r="B114" s="162"/>
      <c r="C114" s="162"/>
      <c r="D114" s="162"/>
      <c r="E114" s="166"/>
      <c r="F114" s="167"/>
      <c r="G114" s="167"/>
    </row>
    <row r="115" spans="1:7" x14ac:dyDescent="0.25">
      <c r="A115" s="162"/>
      <c r="B115" s="162"/>
      <c r="C115" s="162"/>
      <c r="D115" s="162"/>
      <c r="E115" s="166"/>
      <c r="F115" s="167"/>
      <c r="G115" s="167"/>
    </row>
    <row r="116" spans="1:7" x14ac:dyDescent="0.25">
      <c r="A116" s="162"/>
      <c r="B116" s="162"/>
      <c r="C116" s="162"/>
      <c r="D116" s="162"/>
      <c r="E116" s="166"/>
      <c r="F116" s="167"/>
      <c r="G116" s="167"/>
    </row>
    <row r="117" spans="1:7" x14ac:dyDescent="0.25">
      <c r="A117" s="162"/>
      <c r="B117" s="162"/>
      <c r="C117" s="162"/>
      <c r="D117" s="162"/>
      <c r="E117" s="166"/>
      <c r="F117" s="167"/>
      <c r="G117" s="167"/>
    </row>
    <row r="118" spans="1:7" x14ac:dyDescent="0.25">
      <c r="A118" s="162"/>
      <c r="B118" s="162"/>
      <c r="C118" s="162"/>
      <c r="D118" s="162"/>
      <c r="E118" s="166"/>
      <c r="F118" s="167"/>
      <c r="G118" s="167"/>
    </row>
    <row r="119" spans="1:7" x14ac:dyDescent="0.25">
      <c r="A119" s="162"/>
      <c r="B119" s="162"/>
      <c r="C119" s="162"/>
      <c r="D119" s="162"/>
      <c r="E119" s="166"/>
      <c r="F119" s="167"/>
      <c r="G119" s="167"/>
    </row>
    <row r="120" spans="1:7" x14ac:dyDescent="0.25">
      <c r="A120" s="162"/>
      <c r="B120" s="162"/>
      <c r="C120" s="162"/>
      <c r="D120" s="162"/>
      <c r="E120" s="166"/>
      <c r="F120" s="167"/>
      <c r="G120" s="167"/>
    </row>
    <row r="121" spans="1:7" x14ac:dyDescent="0.25">
      <c r="A121" s="162"/>
      <c r="B121" s="162"/>
      <c r="C121" s="162"/>
      <c r="D121" s="162"/>
      <c r="E121" s="166"/>
      <c r="F121" s="167"/>
      <c r="G121" s="167"/>
    </row>
    <row r="122" spans="1:7" x14ac:dyDescent="0.25">
      <c r="A122" s="162"/>
      <c r="B122" s="162"/>
      <c r="C122" s="162"/>
      <c r="D122" s="162"/>
      <c r="E122" s="166"/>
      <c r="F122" s="167"/>
      <c r="G122" s="167"/>
    </row>
    <row r="123" spans="1:7" x14ac:dyDescent="0.25">
      <c r="A123" s="162"/>
      <c r="B123" s="162"/>
      <c r="C123" s="162"/>
      <c r="D123" s="162"/>
      <c r="E123" s="166"/>
      <c r="F123" s="167"/>
      <c r="G123" s="167"/>
    </row>
    <row r="124" spans="1:7" x14ac:dyDescent="0.25">
      <c r="A124" s="162"/>
      <c r="B124" s="162"/>
      <c r="C124" s="162"/>
      <c r="D124" s="162"/>
      <c r="E124" s="166"/>
      <c r="F124" s="167"/>
      <c r="G124" s="167"/>
    </row>
    <row r="125" spans="1:7" x14ac:dyDescent="0.25">
      <c r="A125" s="162"/>
      <c r="B125" s="162"/>
      <c r="C125" s="162"/>
      <c r="D125" s="162"/>
      <c r="E125" s="166"/>
      <c r="F125" s="167"/>
      <c r="G125" s="167"/>
    </row>
    <row r="126" spans="1:7" x14ac:dyDescent="0.25">
      <c r="A126" s="162"/>
      <c r="B126" s="162"/>
      <c r="C126" s="162"/>
      <c r="D126" s="162"/>
      <c r="E126" s="166"/>
      <c r="F126" s="167"/>
      <c r="G126" s="167"/>
    </row>
    <row r="127" spans="1:7" x14ac:dyDescent="0.25">
      <c r="A127" s="162"/>
      <c r="B127" s="162"/>
      <c r="C127" s="162"/>
      <c r="D127" s="162"/>
      <c r="E127" s="166"/>
      <c r="F127" s="167"/>
      <c r="G127" s="167"/>
    </row>
    <row r="128" spans="1:7" x14ac:dyDescent="0.25">
      <c r="A128" s="162"/>
      <c r="B128" s="162"/>
      <c r="C128" s="162"/>
      <c r="D128" s="162"/>
      <c r="E128" s="166"/>
      <c r="F128" s="167"/>
      <c r="G128" s="167"/>
    </row>
    <row r="129" spans="1:7" x14ac:dyDescent="0.25">
      <c r="A129" s="162"/>
      <c r="B129" s="162"/>
      <c r="C129" s="162"/>
      <c r="D129" s="162"/>
      <c r="E129" s="166"/>
      <c r="F129" s="167"/>
      <c r="G129" s="167"/>
    </row>
    <row r="130" spans="1:7" x14ac:dyDescent="0.25">
      <c r="A130" s="162"/>
      <c r="B130" s="162"/>
      <c r="C130" s="162"/>
      <c r="D130" s="162"/>
      <c r="E130" s="166"/>
      <c r="F130" s="167"/>
      <c r="G130" s="167"/>
    </row>
    <row r="131" spans="1:7" x14ac:dyDescent="0.25">
      <c r="A131" s="162"/>
      <c r="B131" s="162"/>
      <c r="C131" s="162"/>
      <c r="D131" s="162"/>
      <c r="E131" s="166"/>
      <c r="F131" s="167"/>
      <c r="G131" s="167"/>
    </row>
    <row r="132" spans="1:7" x14ac:dyDescent="0.25">
      <c r="A132" s="162"/>
      <c r="B132" s="162"/>
      <c r="C132" s="162"/>
      <c r="D132" s="162"/>
      <c r="E132" s="166"/>
      <c r="F132" s="167"/>
      <c r="G132" s="167"/>
    </row>
    <row r="133" spans="1:7" x14ac:dyDescent="0.25">
      <c r="A133" s="162"/>
      <c r="B133" s="162"/>
      <c r="C133" s="162"/>
      <c r="D133" s="162"/>
      <c r="E133" s="166"/>
      <c r="F133" s="167"/>
      <c r="G133" s="167"/>
    </row>
    <row r="134" spans="1:7" x14ac:dyDescent="0.25">
      <c r="A134" s="162"/>
      <c r="B134" s="162"/>
      <c r="C134" s="162"/>
      <c r="D134" s="162"/>
      <c r="E134" s="166"/>
      <c r="F134" s="167"/>
      <c r="G134" s="167"/>
    </row>
    <row r="135" spans="1:7" x14ac:dyDescent="0.25">
      <c r="A135" s="162"/>
      <c r="B135" s="162"/>
      <c r="C135" s="162"/>
      <c r="D135" s="162"/>
      <c r="E135" s="166"/>
      <c r="F135" s="167"/>
      <c r="G135" s="167"/>
    </row>
    <row r="136" spans="1:7" x14ac:dyDescent="0.25">
      <c r="A136" s="162"/>
      <c r="B136" s="162"/>
      <c r="C136" s="162"/>
      <c r="D136" s="162"/>
      <c r="E136" s="166"/>
      <c r="F136" s="167"/>
      <c r="G136" s="167"/>
    </row>
    <row r="137" spans="1:7" x14ac:dyDescent="0.25">
      <c r="A137" s="162"/>
      <c r="B137" s="162"/>
      <c r="C137" s="162"/>
      <c r="D137" s="162"/>
      <c r="E137" s="166"/>
      <c r="F137" s="167"/>
      <c r="G137" s="167"/>
    </row>
    <row r="138" spans="1:7" x14ac:dyDescent="0.25">
      <c r="A138" s="162"/>
      <c r="B138" s="162"/>
      <c r="C138" s="162"/>
      <c r="D138" s="162"/>
      <c r="E138" s="166"/>
      <c r="F138" s="167"/>
      <c r="G138" s="167"/>
    </row>
    <row r="139" spans="1:7" x14ac:dyDescent="0.25">
      <c r="A139" s="162"/>
      <c r="B139" s="162"/>
      <c r="C139" s="162"/>
      <c r="D139" s="162"/>
      <c r="E139" s="166"/>
      <c r="F139" s="167"/>
      <c r="G139" s="167"/>
    </row>
    <row r="140" spans="1:7" x14ac:dyDescent="0.25">
      <c r="A140" s="162"/>
      <c r="B140" s="162"/>
      <c r="C140" s="162"/>
      <c r="D140" s="162"/>
      <c r="E140" s="166"/>
      <c r="F140" s="167"/>
      <c r="G140" s="167"/>
    </row>
    <row r="141" spans="1:7" x14ac:dyDescent="0.25">
      <c r="A141" s="162"/>
      <c r="B141" s="162"/>
      <c r="C141" s="162"/>
      <c r="D141" s="162"/>
      <c r="E141" s="166"/>
      <c r="F141" s="167"/>
      <c r="G141" s="167"/>
    </row>
    <row r="142" spans="1:7" x14ac:dyDescent="0.25">
      <c r="A142" s="162"/>
      <c r="B142" s="162"/>
      <c r="C142" s="162"/>
      <c r="D142" s="162"/>
      <c r="E142" s="166"/>
      <c r="F142" s="167"/>
      <c r="G142" s="167"/>
    </row>
    <row r="143" spans="1:7" x14ac:dyDescent="0.25">
      <c r="A143" s="162"/>
      <c r="B143" s="162"/>
      <c r="C143" s="162"/>
      <c r="D143" s="162"/>
      <c r="E143" s="166"/>
      <c r="F143" s="167"/>
      <c r="G143" s="167"/>
    </row>
    <row r="144" spans="1:7" x14ac:dyDescent="0.25">
      <c r="A144" s="162"/>
      <c r="B144" s="162"/>
      <c r="C144" s="162"/>
      <c r="D144" s="162"/>
      <c r="E144" s="166"/>
      <c r="F144" s="167"/>
      <c r="G144" s="167"/>
    </row>
    <row r="145" spans="1:7" x14ac:dyDescent="0.25">
      <c r="A145" s="162"/>
      <c r="B145" s="162"/>
      <c r="C145" s="162"/>
      <c r="D145" s="162"/>
      <c r="E145" s="166"/>
      <c r="F145" s="167"/>
      <c r="G145" s="167"/>
    </row>
    <row r="146" spans="1:7" x14ac:dyDescent="0.25">
      <c r="A146" s="162"/>
      <c r="B146" s="162"/>
      <c r="C146" s="162"/>
      <c r="D146" s="162"/>
      <c r="E146" s="166"/>
      <c r="F146" s="167"/>
      <c r="G146" s="167"/>
    </row>
    <row r="147" spans="1:7" x14ac:dyDescent="0.25">
      <c r="A147" s="162"/>
      <c r="B147" s="162"/>
      <c r="C147" s="162"/>
      <c r="D147" s="162"/>
      <c r="E147" s="166"/>
      <c r="F147" s="167"/>
      <c r="G147" s="167"/>
    </row>
    <row r="148" spans="1:7" x14ac:dyDescent="0.25">
      <c r="A148" s="162"/>
      <c r="B148" s="162"/>
      <c r="C148" s="162"/>
      <c r="D148" s="162"/>
      <c r="E148" s="166"/>
      <c r="F148" s="167"/>
      <c r="G148" s="167"/>
    </row>
    <row r="149" spans="1:7" x14ac:dyDescent="0.25">
      <c r="A149" s="162"/>
      <c r="B149" s="162"/>
      <c r="C149" s="162"/>
      <c r="D149" s="162"/>
      <c r="E149" s="166"/>
      <c r="F149" s="167"/>
      <c r="G149" s="167"/>
    </row>
    <row r="150" spans="1:7" x14ac:dyDescent="0.25">
      <c r="A150" s="162"/>
      <c r="B150" s="162"/>
      <c r="C150" s="162"/>
      <c r="D150" s="162"/>
      <c r="E150" s="166"/>
      <c r="F150" s="167"/>
      <c r="G150" s="167"/>
    </row>
    <row r="151" spans="1:7" x14ac:dyDescent="0.25">
      <c r="A151" s="162"/>
      <c r="B151" s="162"/>
      <c r="C151" s="162"/>
      <c r="D151" s="162"/>
      <c r="E151" s="166"/>
      <c r="F151" s="167"/>
      <c r="G151" s="167"/>
    </row>
    <row r="152" spans="1:7" x14ac:dyDescent="0.25">
      <c r="A152" s="162"/>
      <c r="B152" s="162"/>
      <c r="C152" s="162"/>
      <c r="D152" s="162"/>
      <c r="E152" s="166"/>
      <c r="F152" s="167"/>
      <c r="G152" s="167"/>
    </row>
    <row r="153" spans="1:7" x14ac:dyDescent="0.25">
      <c r="A153" s="162"/>
      <c r="B153" s="162"/>
      <c r="C153" s="162"/>
      <c r="D153" s="162"/>
      <c r="E153" s="166"/>
      <c r="F153" s="167"/>
      <c r="G153" s="167"/>
    </row>
    <row r="154" spans="1:7" x14ac:dyDescent="0.25">
      <c r="A154" s="162"/>
      <c r="B154" s="162"/>
      <c r="C154" s="162"/>
      <c r="D154" s="162"/>
      <c r="E154" s="166"/>
      <c r="F154" s="167"/>
      <c r="G154" s="167"/>
    </row>
    <row r="155" spans="1:7" x14ac:dyDescent="0.25">
      <c r="A155" s="162"/>
      <c r="B155" s="162"/>
      <c r="C155" s="162"/>
      <c r="D155" s="162"/>
      <c r="E155" s="166"/>
      <c r="F155" s="167"/>
      <c r="G155" s="167"/>
    </row>
    <row r="156" spans="1:7" x14ac:dyDescent="0.25">
      <c r="A156" s="162"/>
      <c r="B156" s="162"/>
      <c r="C156" s="162"/>
      <c r="D156" s="162"/>
      <c r="E156" s="166"/>
      <c r="F156" s="167"/>
      <c r="G156" s="167"/>
    </row>
    <row r="157" spans="1:7" x14ac:dyDescent="0.25">
      <c r="A157" s="162"/>
      <c r="B157" s="162"/>
      <c r="C157" s="162"/>
      <c r="D157" s="162"/>
      <c r="E157" s="166"/>
      <c r="F157" s="167"/>
      <c r="G157" s="167"/>
    </row>
    <row r="158" spans="1:7" x14ac:dyDescent="0.25">
      <c r="A158" s="162"/>
      <c r="B158" s="162"/>
      <c r="C158" s="162"/>
      <c r="D158" s="162"/>
      <c r="E158" s="166"/>
      <c r="F158" s="167"/>
      <c r="G158" s="167"/>
    </row>
    <row r="159" spans="1:7" x14ac:dyDescent="0.25">
      <c r="A159" s="162"/>
      <c r="B159" s="162"/>
      <c r="C159" s="162"/>
      <c r="D159" s="162"/>
      <c r="E159" s="166"/>
      <c r="F159" s="167"/>
      <c r="G159" s="167"/>
    </row>
    <row r="160" spans="1:7" x14ac:dyDescent="0.25">
      <c r="A160" s="162"/>
      <c r="B160" s="162"/>
      <c r="C160" s="162"/>
      <c r="D160" s="162"/>
      <c r="E160" s="166"/>
      <c r="F160" s="167"/>
      <c r="G160" s="167"/>
    </row>
    <row r="161" spans="1:7" x14ac:dyDescent="0.25">
      <c r="A161" s="162"/>
      <c r="B161" s="162"/>
      <c r="C161" s="162"/>
      <c r="D161" s="162"/>
      <c r="E161" s="166"/>
      <c r="F161" s="167"/>
      <c r="G161" s="167"/>
    </row>
    <row r="162" spans="1:7" x14ac:dyDescent="0.25">
      <c r="A162" s="162"/>
      <c r="B162" s="162"/>
      <c r="C162" s="162"/>
      <c r="D162" s="162"/>
      <c r="E162" s="166"/>
      <c r="F162" s="167"/>
      <c r="G162" s="167"/>
    </row>
    <row r="163" spans="1:7" x14ac:dyDescent="0.25">
      <c r="A163" s="162"/>
      <c r="B163" s="162"/>
      <c r="C163" s="162"/>
      <c r="D163" s="162"/>
      <c r="E163" s="166"/>
      <c r="F163" s="167"/>
      <c r="G163" s="167"/>
    </row>
    <row r="164" spans="1:7" x14ac:dyDescent="0.25">
      <c r="A164" s="162"/>
      <c r="B164" s="162"/>
      <c r="C164" s="162"/>
      <c r="D164" s="162"/>
      <c r="E164" s="166"/>
      <c r="F164" s="167"/>
      <c r="G164" s="167"/>
    </row>
    <row r="165" spans="1:7" x14ac:dyDescent="0.25">
      <c r="A165" s="162"/>
      <c r="B165" s="162"/>
      <c r="C165" s="162"/>
      <c r="D165" s="162"/>
      <c r="E165" s="166"/>
      <c r="F165" s="167"/>
      <c r="G165" s="167"/>
    </row>
    <row r="166" spans="1:7" x14ac:dyDescent="0.25">
      <c r="A166" s="162"/>
      <c r="B166" s="162"/>
      <c r="C166" s="162"/>
      <c r="D166" s="162"/>
      <c r="E166" s="166"/>
      <c r="F166" s="167"/>
      <c r="G166" s="167"/>
    </row>
    <row r="167" spans="1:7" x14ac:dyDescent="0.25">
      <c r="A167" s="162"/>
      <c r="B167" s="162"/>
      <c r="C167" s="162"/>
      <c r="D167" s="162"/>
      <c r="E167" s="166"/>
      <c r="F167" s="167"/>
      <c r="G167" s="167"/>
    </row>
    <row r="168" spans="1:7" x14ac:dyDescent="0.25">
      <c r="A168" s="162"/>
      <c r="B168" s="162"/>
      <c r="C168" s="162"/>
      <c r="D168" s="162"/>
      <c r="E168" s="166"/>
      <c r="F168" s="167"/>
      <c r="G168" s="167"/>
    </row>
    <row r="169" spans="1:7" x14ac:dyDescent="0.25">
      <c r="A169" s="162"/>
      <c r="B169" s="162"/>
      <c r="C169" s="162"/>
      <c r="D169" s="162"/>
      <c r="E169" s="166"/>
      <c r="F169" s="167"/>
      <c r="G169" s="167"/>
    </row>
    <row r="170" spans="1:7" x14ac:dyDescent="0.25">
      <c r="A170" s="162"/>
      <c r="B170" s="162"/>
      <c r="C170" s="162"/>
      <c r="D170" s="162"/>
      <c r="E170" s="166"/>
      <c r="F170" s="167"/>
      <c r="G170" s="167"/>
    </row>
    <row r="171" spans="1:7" x14ac:dyDescent="0.25">
      <c r="A171" s="162"/>
      <c r="B171" s="162"/>
      <c r="C171" s="162"/>
      <c r="D171" s="162"/>
      <c r="E171" s="166"/>
      <c r="F171" s="167"/>
      <c r="G171" s="167"/>
    </row>
    <row r="172" spans="1:7" x14ac:dyDescent="0.25">
      <c r="A172" s="162"/>
      <c r="B172" s="162"/>
      <c r="C172" s="162"/>
      <c r="D172" s="162"/>
      <c r="E172" s="166"/>
      <c r="F172" s="167"/>
      <c r="G172" s="167"/>
    </row>
    <row r="173" spans="1:7" x14ac:dyDescent="0.25">
      <c r="A173" s="162"/>
      <c r="B173" s="162"/>
      <c r="C173" s="162"/>
      <c r="D173" s="162"/>
      <c r="E173" s="166"/>
      <c r="F173" s="167"/>
      <c r="G173" s="167"/>
    </row>
    <row r="174" spans="1:7" x14ac:dyDescent="0.25">
      <c r="A174" s="162"/>
      <c r="B174" s="162"/>
      <c r="C174" s="162"/>
      <c r="D174" s="162"/>
      <c r="E174" s="166"/>
      <c r="F174" s="167"/>
      <c r="G174" s="167"/>
    </row>
    <row r="175" spans="1:7" x14ac:dyDescent="0.25">
      <c r="A175" s="162"/>
      <c r="B175" s="162"/>
      <c r="C175" s="162"/>
      <c r="D175" s="162"/>
      <c r="E175" s="166"/>
      <c r="F175" s="167"/>
      <c r="G175" s="167"/>
    </row>
    <row r="176" spans="1:7" x14ac:dyDescent="0.25">
      <c r="A176" s="162"/>
      <c r="B176" s="162"/>
      <c r="C176" s="162"/>
      <c r="D176" s="162"/>
      <c r="E176" s="166"/>
      <c r="F176" s="167"/>
      <c r="G176" s="167"/>
    </row>
    <row r="177" spans="1:7" x14ac:dyDescent="0.25">
      <c r="A177" s="162"/>
      <c r="B177" s="162"/>
      <c r="C177" s="162"/>
      <c r="D177" s="162"/>
      <c r="E177" s="166"/>
      <c r="F177" s="167"/>
      <c r="G177" s="167"/>
    </row>
    <row r="178" spans="1:7" x14ac:dyDescent="0.25">
      <c r="A178" s="162"/>
      <c r="B178" s="162"/>
      <c r="C178" s="162"/>
      <c r="D178" s="162"/>
      <c r="E178" s="166"/>
      <c r="F178" s="167"/>
      <c r="G178" s="167"/>
    </row>
    <row r="179" spans="1:7" x14ac:dyDescent="0.25">
      <c r="A179" s="162"/>
      <c r="B179" s="162"/>
      <c r="C179" s="162"/>
      <c r="D179" s="162"/>
      <c r="E179" s="166"/>
      <c r="F179" s="167"/>
      <c r="G179" s="167"/>
    </row>
    <row r="180" spans="1:7" x14ac:dyDescent="0.25">
      <c r="A180" s="162"/>
      <c r="B180" s="162"/>
      <c r="C180" s="162"/>
      <c r="D180" s="162"/>
      <c r="E180" s="166"/>
      <c r="F180" s="167"/>
      <c r="G180" s="167"/>
    </row>
    <row r="181" spans="1:7" x14ac:dyDescent="0.25">
      <c r="A181" s="162"/>
      <c r="B181" s="162"/>
      <c r="C181" s="162"/>
      <c r="D181" s="162"/>
      <c r="E181" s="166"/>
      <c r="F181" s="167"/>
      <c r="G181" s="167"/>
    </row>
    <row r="182" spans="1:7" x14ac:dyDescent="0.25">
      <c r="A182" s="162"/>
      <c r="B182" s="162"/>
      <c r="C182" s="162"/>
      <c r="D182" s="162"/>
      <c r="E182" s="166"/>
      <c r="F182" s="167"/>
      <c r="G182" s="167"/>
    </row>
    <row r="183" spans="1:7" x14ac:dyDescent="0.25">
      <c r="A183" s="162"/>
      <c r="B183" s="162"/>
      <c r="C183" s="162"/>
      <c r="D183" s="162"/>
      <c r="E183" s="166"/>
      <c r="F183" s="167"/>
      <c r="G183" s="167"/>
    </row>
    <row r="184" spans="1:7" x14ac:dyDescent="0.25">
      <c r="A184" s="162"/>
      <c r="B184" s="162"/>
      <c r="C184" s="162"/>
      <c r="D184" s="162"/>
      <c r="E184" s="166"/>
      <c r="F184" s="167"/>
      <c r="G184" s="167"/>
    </row>
    <row r="185" spans="1:7" x14ac:dyDescent="0.25">
      <c r="A185" s="162"/>
      <c r="B185" s="162"/>
      <c r="C185" s="162"/>
      <c r="D185" s="162"/>
      <c r="E185" s="166"/>
      <c r="F185" s="167"/>
      <c r="G185" s="167"/>
    </row>
    <row r="186" spans="1:7" x14ac:dyDescent="0.25">
      <c r="A186" s="162"/>
      <c r="B186" s="162"/>
      <c r="C186" s="162"/>
      <c r="D186" s="162"/>
      <c r="E186" s="166"/>
      <c r="F186" s="167"/>
      <c r="G186" s="167"/>
    </row>
    <row r="187" spans="1:7" x14ac:dyDescent="0.25">
      <c r="A187" s="162"/>
      <c r="B187" s="162"/>
      <c r="C187" s="162"/>
      <c r="D187" s="162"/>
      <c r="E187" s="166"/>
      <c r="F187" s="167"/>
      <c r="G187" s="167"/>
    </row>
    <row r="188" spans="1:7" x14ac:dyDescent="0.25">
      <c r="A188" s="162"/>
      <c r="B188" s="162"/>
      <c r="C188" s="162"/>
      <c r="D188" s="162"/>
      <c r="E188" s="166"/>
      <c r="F188" s="167"/>
      <c r="G188" s="167"/>
    </row>
    <row r="189" spans="1:7" x14ac:dyDescent="0.25">
      <c r="A189" s="162"/>
      <c r="B189" s="162"/>
      <c r="C189" s="162"/>
      <c r="D189" s="162"/>
      <c r="E189" s="166"/>
      <c r="F189" s="167"/>
      <c r="G189" s="167"/>
    </row>
    <row r="190" spans="1:7" x14ac:dyDescent="0.25">
      <c r="A190" s="162"/>
      <c r="B190" s="162"/>
      <c r="C190" s="162"/>
      <c r="D190" s="162"/>
      <c r="E190" s="166"/>
      <c r="F190" s="167"/>
      <c r="G190" s="167"/>
    </row>
    <row r="191" spans="1:7" x14ac:dyDescent="0.25">
      <c r="A191" s="162"/>
      <c r="B191" s="162"/>
      <c r="C191" s="162"/>
      <c r="D191" s="162"/>
      <c r="E191" s="166"/>
      <c r="F191" s="167"/>
      <c r="G191" s="167"/>
    </row>
    <row r="192" spans="1:7" x14ac:dyDescent="0.25">
      <c r="A192" s="162"/>
      <c r="B192" s="162"/>
      <c r="C192" s="162"/>
      <c r="D192" s="162"/>
      <c r="E192" s="166"/>
      <c r="F192" s="167"/>
      <c r="G192" s="167"/>
    </row>
    <row r="193" spans="1:7" x14ac:dyDescent="0.25">
      <c r="A193" s="162"/>
      <c r="B193" s="162"/>
      <c r="C193" s="162"/>
      <c r="D193" s="162"/>
      <c r="E193" s="166"/>
      <c r="F193" s="167"/>
      <c r="G193" s="167"/>
    </row>
    <row r="194" spans="1:7" x14ac:dyDescent="0.25">
      <c r="A194" s="162"/>
      <c r="B194" s="162"/>
      <c r="C194" s="162"/>
      <c r="D194" s="162"/>
      <c r="E194" s="166"/>
      <c r="F194" s="167"/>
      <c r="G194" s="167"/>
    </row>
    <row r="195" spans="1:7" x14ac:dyDescent="0.25">
      <c r="A195" s="162"/>
      <c r="B195" s="162"/>
      <c r="C195" s="162"/>
      <c r="D195" s="162"/>
      <c r="E195" s="166"/>
      <c r="F195" s="167"/>
      <c r="G195" s="167"/>
    </row>
    <row r="196" spans="1:7" x14ac:dyDescent="0.25">
      <c r="A196" s="162"/>
      <c r="B196" s="162"/>
      <c r="C196" s="162"/>
      <c r="D196" s="162"/>
      <c r="E196" s="166"/>
      <c r="F196" s="167"/>
      <c r="G196" s="167"/>
    </row>
    <row r="197" spans="1:7" x14ac:dyDescent="0.25">
      <c r="A197" s="162"/>
      <c r="B197" s="162"/>
      <c r="C197" s="162"/>
      <c r="D197" s="162"/>
      <c r="E197" s="166"/>
      <c r="F197" s="167"/>
      <c r="G197" s="167"/>
    </row>
    <row r="198" spans="1:7" x14ac:dyDescent="0.25">
      <c r="A198" s="162"/>
      <c r="B198" s="162"/>
      <c r="C198" s="162"/>
      <c r="D198" s="162"/>
      <c r="E198" s="166"/>
      <c r="F198" s="167"/>
      <c r="G198" s="167"/>
    </row>
    <row r="199" spans="1:7" x14ac:dyDescent="0.25">
      <c r="A199" s="162"/>
      <c r="B199" s="162"/>
      <c r="C199" s="162"/>
      <c r="D199" s="162"/>
      <c r="E199" s="166"/>
      <c r="F199" s="167"/>
      <c r="G199" s="167"/>
    </row>
    <row r="200" spans="1:7" x14ac:dyDescent="0.25">
      <c r="A200" s="162"/>
      <c r="B200" s="162"/>
      <c r="C200" s="162"/>
      <c r="D200" s="162"/>
      <c r="E200" s="166"/>
      <c r="F200" s="167"/>
      <c r="G200" s="167"/>
    </row>
    <row r="201" spans="1:7" x14ac:dyDescent="0.25">
      <c r="A201" s="162"/>
      <c r="B201" s="162"/>
      <c r="C201" s="162"/>
      <c r="D201" s="162"/>
      <c r="E201" s="166"/>
      <c r="F201" s="167"/>
      <c r="G201" s="167"/>
    </row>
    <row r="202" spans="1:7" x14ac:dyDescent="0.25">
      <c r="A202" s="162"/>
      <c r="B202" s="162"/>
      <c r="C202" s="162"/>
      <c r="D202" s="162"/>
      <c r="E202" s="166"/>
      <c r="F202" s="167"/>
      <c r="G202" s="167"/>
    </row>
    <row r="203" spans="1:7" x14ac:dyDescent="0.25">
      <c r="A203" s="162"/>
      <c r="B203" s="162"/>
      <c r="C203" s="162"/>
      <c r="D203" s="162"/>
      <c r="E203" s="166"/>
      <c r="F203" s="167"/>
      <c r="G203" s="167"/>
    </row>
    <row r="204" spans="1:7" x14ac:dyDescent="0.25">
      <c r="A204" s="162"/>
      <c r="B204" s="162"/>
      <c r="C204" s="162"/>
      <c r="D204" s="162"/>
      <c r="E204" s="166"/>
      <c r="F204" s="167"/>
      <c r="G204" s="167"/>
    </row>
    <row r="205" spans="1:7" x14ac:dyDescent="0.25">
      <c r="A205" s="162"/>
      <c r="B205" s="162"/>
      <c r="C205" s="162"/>
      <c r="D205" s="162"/>
      <c r="E205" s="166"/>
      <c r="F205" s="167"/>
      <c r="G205" s="167"/>
    </row>
    <row r="206" spans="1:7" x14ac:dyDescent="0.25">
      <c r="A206" s="162"/>
      <c r="B206" s="162"/>
      <c r="C206" s="162"/>
      <c r="D206" s="162"/>
      <c r="E206" s="166"/>
      <c r="F206" s="167"/>
      <c r="G206" s="167"/>
    </row>
    <row r="207" spans="1:7" x14ac:dyDescent="0.25">
      <c r="A207" s="162"/>
      <c r="B207" s="162"/>
      <c r="C207" s="162"/>
      <c r="D207" s="162"/>
      <c r="E207" s="166"/>
      <c r="F207" s="167"/>
      <c r="G207" s="167"/>
    </row>
    <row r="208" spans="1:7" x14ac:dyDescent="0.25">
      <c r="A208" s="162"/>
      <c r="B208" s="162"/>
      <c r="C208" s="162"/>
      <c r="D208" s="162"/>
      <c r="E208" s="166"/>
      <c r="F208" s="167"/>
      <c r="G208" s="167"/>
    </row>
    <row r="209" spans="1:7" x14ac:dyDescent="0.25">
      <c r="A209" s="162"/>
      <c r="B209" s="162"/>
      <c r="C209" s="162"/>
      <c r="D209" s="162"/>
      <c r="E209" s="166"/>
      <c r="F209" s="167"/>
      <c r="G209" s="167"/>
    </row>
    <row r="210" spans="1:7" x14ac:dyDescent="0.25">
      <c r="A210" s="162"/>
      <c r="B210" s="162"/>
      <c r="C210" s="162"/>
      <c r="D210" s="162"/>
      <c r="E210" s="166"/>
      <c r="F210" s="167"/>
      <c r="G210" s="167"/>
    </row>
    <row r="211" spans="1:7" x14ac:dyDescent="0.25">
      <c r="A211" s="162"/>
      <c r="B211" s="162"/>
      <c r="C211" s="162"/>
      <c r="D211" s="162"/>
      <c r="E211" s="166"/>
      <c r="F211" s="167"/>
      <c r="G211" s="167"/>
    </row>
    <row r="212" spans="1:7" x14ac:dyDescent="0.25">
      <c r="A212" s="162"/>
      <c r="B212" s="162"/>
      <c r="C212" s="162"/>
      <c r="D212" s="162"/>
      <c r="E212" s="166"/>
      <c r="F212" s="167"/>
      <c r="G212" s="167"/>
    </row>
    <row r="213" spans="1:7" x14ac:dyDescent="0.25">
      <c r="A213" s="162"/>
      <c r="B213" s="162"/>
      <c r="C213" s="162"/>
      <c r="D213" s="162"/>
      <c r="E213" s="166"/>
      <c r="F213" s="167"/>
      <c r="G213" s="167"/>
    </row>
    <row r="214" spans="1:7" x14ac:dyDescent="0.25">
      <c r="A214" s="162"/>
      <c r="B214" s="162"/>
      <c r="C214" s="162"/>
      <c r="D214" s="162"/>
      <c r="E214" s="166"/>
      <c r="F214" s="167"/>
      <c r="G214" s="167"/>
    </row>
    <row r="215" spans="1:7" x14ac:dyDescent="0.25">
      <c r="A215" s="162"/>
      <c r="B215" s="162"/>
      <c r="C215" s="162"/>
      <c r="D215" s="162"/>
      <c r="E215" s="166"/>
      <c r="F215" s="167"/>
      <c r="G215" s="167"/>
    </row>
    <row r="216" spans="1:7" x14ac:dyDescent="0.25">
      <c r="A216" s="162"/>
      <c r="B216" s="162"/>
      <c r="C216" s="162"/>
      <c r="D216" s="162"/>
      <c r="E216" s="166"/>
      <c r="F216" s="167"/>
      <c r="G216" s="167"/>
    </row>
    <row r="217" spans="1:7" x14ac:dyDescent="0.25">
      <c r="A217" s="162"/>
      <c r="B217" s="162"/>
      <c r="C217" s="162"/>
      <c r="D217" s="162"/>
      <c r="E217" s="166"/>
      <c r="F217" s="167"/>
      <c r="G217" s="167"/>
    </row>
    <row r="218" spans="1:7" x14ac:dyDescent="0.25">
      <c r="A218" s="162"/>
      <c r="B218" s="162"/>
      <c r="C218" s="162"/>
      <c r="D218" s="162"/>
      <c r="E218" s="166"/>
      <c r="F218" s="167"/>
      <c r="G218" s="167"/>
    </row>
    <row r="219" spans="1:7" x14ac:dyDescent="0.25">
      <c r="A219" s="162"/>
      <c r="B219" s="162"/>
      <c r="C219" s="162"/>
      <c r="D219" s="162"/>
      <c r="E219" s="166"/>
      <c r="F219" s="167"/>
      <c r="G219" s="167"/>
    </row>
    <row r="220" spans="1:7" x14ac:dyDescent="0.25">
      <c r="A220" s="162"/>
      <c r="B220" s="162"/>
      <c r="C220" s="162"/>
      <c r="D220" s="162"/>
      <c r="E220" s="166"/>
      <c r="F220" s="167"/>
      <c r="G220" s="167"/>
    </row>
    <row r="221" spans="1:7" x14ac:dyDescent="0.25">
      <c r="A221" s="162"/>
      <c r="B221" s="162"/>
      <c r="C221" s="162"/>
      <c r="D221" s="162"/>
      <c r="E221" s="166"/>
      <c r="F221" s="167"/>
      <c r="G221" s="167"/>
    </row>
    <row r="222" spans="1:7" x14ac:dyDescent="0.25">
      <c r="A222" s="162"/>
      <c r="B222" s="162"/>
      <c r="C222" s="162"/>
      <c r="D222" s="162"/>
      <c r="E222" s="166"/>
      <c r="F222" s="167"/>
      <c r="G222" s="167"/>
    </row>
    <row r="223" spans="1:7" x14ac:dyDescent="0.25">
      <c r="A223" s="162"/>
      <c r="B223" s="162"/>
      <c r="C223" s="162"/>
      <c r="D223" s="162"/>
      <c r="E223" s="166"/>
      <c r="F223" s="167"/>
      <c r="G223" s="167"/>
    </row>
    <row r="224" spans="1:7" x14ac:dyDescent="0.25">
      <c r="A224" s="162"/>
      <c r="B224" s="162"/>
      <c r="C224" s="162"/>
      <c r="D224" s="162"/>
      <c r="E224" s="166"/>
      <c r="F224" s="167"/>
      <c r="G224" s="167"/>
    </row>
    <row r="225" spans="1:7" x14ac:dyDescent="0.25">
      <c r="A225" s="162"/>
      <c r="B225" s="162"/>
      <c r="C225" s="162"/>
      <c r="D225" s="162"/>
      <c r="E225" s="166"/>
      <c r="F225" s="167"/>
      <c r="G225" s="167"/>
    </row>
    <row r="226" spans="1:7" x14ac:dyDescent="0.25">
      <c r="A226" s="162"/>
      <c r="B226" s="162"/>
      <c r="C226" s="162"/>
      <c r="D226" s="162"/>
      <c r="E226" s="166"/>
      <c r="F226" s="167"/>
      <c r="G226" s="167"/>
    </row>
    <row r="227" spans="1:7" x14ac:dyDescent="0.25">
      <c r="A227" s="162"/>
      <c r="B227" s="162"/>
      <c r="C227" s="162"/>
      <c r="D227" s="162"/>
      <c r="E227" s="166"/>
      <c r="F227" s="167"/>
      <c r="G227" s="167"/>
    </row>
    <row r="228" spans="1:7" x14ac:dyDescent="0.25">
      <c r="A228" s="162"/>
      <c r="B228" s="162"/>
      <c r="C228" s="162"/>
      <c r="D228" s="162"/>
      <c r="E228" s="166"/>
      <c r="F228" s="167"/>
      <c r="G228" s="167"/>
    </row>
    <row r="229" spans="1:7" x14ac:dyDescent="0.25">
      <c r="A229" s="162"/>
      <c r="B229" s="162"/>
      <c r="C229" s="162"/>
      <c r="D229" s="162"/>
      <c r="E229" s="166"/>
      <c r="F229" s="167"/>
      <c r="G229" s="167"/>
    </row>
    <row r="230" spans="1:7" x14ac:dyDescent="0.25">
      <c r="A230" s="162"/>
      <c r="B230" s="162"/>
      <c r="C230" s="162"/>
      <c r="D230" s="162"/>
      <c r="E230" s="166"/>
      <c r="F230" s="167"/>
      <c r="G230" s="167"/>
    </row>
    <row r="231" spans="1:7" x14ac:dyDescent="0.25">
      <c r="A231" s="162"/>
      <c r="B231" s="162"/>
      <c r="C231" s="162"/>
      <c r="D231" s="162"/>
      <c r="E231" s="166"/>
      <c r="F231" s="167"/>
      <c r="G231" s="167"/>
    </row>
    <row r="232" spans="1:7" x14ac:dyDescent="0.25">
      <c r="A232" s="162"/>
      <c r="B232" s="162"/>
      <c r="C232" s="162"/>
      <c r="D232" s="162"/>
      <c r="E232" s="166"/>
      <c r="F232" s="167"/>
      <c r="G232" s="167"/>
    </row>
    <row r="233" spans="1:7" x14ac:dyDescent="0.25">
      <c r="A233" s="162"/>
      <c r="B233" s="162"/>
      <c r="C233" s="162"/>
      <c r="D233" s="162"/>
      <c r="E233" s="166"/>
      <c r="F233" s="167"/>
      <c r="G233" s="167"/>
    </row>
    <row r="234" spans="1:7" x14ac:dyDescent="0.25">
      <c r="A234" s="162"/>
      <c r="B234" s="162"/>
      <c r="C234" s="162"/>
      <c r="D234" s="162"/>
      <c r="E234" s="166"/>
      <c r="F234" s="167"/>
      <c r="G234" s="167"/>
    </row>
    <row r="235" spans="1:7" x14ac:dyDescent="0.25">
      <c r="A235" s="162"/>
      <c r="B235" s="162"/>
      <c r="C235" s="162"/>
      <c r="D235" s="162"/>
      <c r="E235" s="166"/>
      <c r="F235" s="167"/>
      <c r="G235" s="167"/>
    </row>
    <row r="236" spans="1:7" x14ac:dyDescent="0.25">
      <c r="A236" s="162"/>
      <c r="B236" s="162"/>
      <c r="C236" s="162"/>
      <c r="D236" s="162"/>
      <c r="E236" s="166"/>
      <c r="F236" s="167"/>
      <c r="G236" s="167"/>
    </row>
    <row r="237" spans="1:7" x14ac:dyDescent="0.25">
      <c r="A237" s="162"/>
      <c r="B237" s="162"/>
      <c r="C237" s="162"/>
      <c r="D237" s="162"/>
      <c r="E237" s="166"/>
      <c r="F237" s="167"/>
      <c r="G237" s="167"/>
    </row>
    <row r="238" spans="1:7" x14ac:dyDescent="0.25">
      <c r="A238" s="162"/>
      <c r="B238" s="162"/>
      <c r="C238" s="162"/>
      <c r="D238" s="162"/>
      <c r="E238" s="166"/>
      <c r="F238" s="167"/>
      <c r="G238" s="167"/>
    </row>
    <row r="239" spans="1:7" x14ac:dyDescent="0.25">
      <c r="A239" s="162"/>
      <c r="B239" s="162"/>
      <c r="C239" s="162"/>
      <c r="D239" s="162"/>
      <c r="E239" s="166"/>
      <c r="F239" s="167"/>
      <c r="G239" s="167"/>
    </row>
    <row r="240" spans="1:7" x14ac:dyDescent="0.25">
      <c r="A240" s="162"/>
      <c r="B240" s="162"/>
      <c r="C240" s="162"/>
      <c r="D240" s="162"/>
      <c r="E240" s="166"/>
      <c r="F240" s="167"/>
      <c r="G240" s="167"/>
    </row>
    <row r="241" spans="1:7" x14ac:dyDescent="0.25">
      <c r="A241" s="162"/>
      <c r="B241" s="162"/>
      <c r="C241" s="162"/>
      <c r="D241" s="162"/>
      <c r="E241" s="166"/>
      <c r="F241" s="167"/>
      <c r="G241" s="167"/>
    </row>
    <row r="242" spans="1:7" x14ac:dyDescent="0.25">
      <c r="A242" s="162"/>
      <c r="B242" s="162"/>
      <c r="C242" s="162"/>
      <c r="D242" s="162"/>
      <c r="E242" s="166"/>
      <c r="F242" s="167"/>
      <c r="G242" s="167"/>
    </row>
    <row r="243" spans="1:7" x14ac:dyDescent="0.25">
      <c r="A243" s="162"/>
      <c r="B243" s="162"/>
      <c r="C243" s="162"/>
      <c r="D243" s="162"/>
      <c r="E243" s="166"/>
      <c r="F243" s="167"/>
      <c r="G243" s="167"/>
    </row>
    <row r="244" spans="1:7" x14ac:dyDescent="0.25">
      <c r="A244" s="162"/>
      <c r="B244" s="162"/>
      <c r="C244" s="162"/>
      <c r="D244" s="162"/>
      <c r="E244" s="166"/>
      <c r="F244" s="167"/>
      <c r="G244" s="167"/>
    </row>
    <row r="245" spans="1:7" x14ac:dyDescent="0.25">
      <c r="A245" s="162"/>
      <c r="B245" s="162"/>
      <c r="C245" s="162"/>
      <c r="D245" s="162"/>
      <c r="E245" s="166"/>
      <c r="F245" s="167"/>
      <c r="G245" s="167"/>
    </row>
    <row r="246" spans="1:7" x14ac:dyDescent="0.25">
      <c r="A246" s="162"/>
      <c r="B246" s="162"/>
      <c r="C246" s="162"/>
      <c r="D246" s="162"/>
      <c r="E246" s="166"/>
      <c r="F246" s="167"/>
      <c r="G246" s="167"/>
    </row>
    <row r="247" spans="1:7" x14ac:dyDescent="0.25">
      <c r="A247" s="162"/>
      <c r="B247" s="162"/>
      <c r="C247" s="162"/>
      <c r="D247" s="162"/>
      <c r="E247" s="166"/>
      <c r="F247" s="167"/>
      <c r="G247" s="167"/>
    </row>
    <row r="248" spans="1:7" x14ac:dyDescent="0.25">
      <c r="A248" s="162"/>
      <c r="B248" s="162"/>
      <c r="C248" s="162"/>
      <c r="D248" s="162"/>
      <c r="E248" s="166"/>
      <c r="F248" s="167"/>
      <c r="G248" s="167"/>
    </row>
    <row r="249" spans="1:7" x14ac:dyDescent="0.25">
      <c r="A249" s="162"/>
      <c r="B249" s="162"/>
      <c r="C249" s="162"/>
      <c r="D249" s="162"/>
      <c r="E249" s="166"/>
      <c r="F249" s="167"/>
      <c r="G249" s="167"/>
    </row>
    <row r="250" spans="1:7" x14ac:dyDescent="0.25">
      <c r="A250" s="162"/>
      <c r="B250" s="162"/>
      <c r="C250" s="162"/>
      <c r="D250" s="162"/>
      <c r="E250" s="166"/>
      <c r="F250" s="167"/>
      <c r="G250" s="167"/>
    </row>
    <row r="251" spans="1:7" x14ac:dyDescent="0.25">
      <c r="A251" s="162"/>
      <c r="B251" s="162"/>
      <c r="C251" s="162"/>
      <c r="D251" s="162"/>
      <c r="E251" s="166"/>
      <c r="F251" s="167"/>
      <c r="G251" s="167"/>
    </row>
    <row r="252" spans="1:7" x14ac:dyDescent="0.25">
      <c r="A252" s="162"/>
      <c r="B252" s="162"/>
      <c r="C252" s="162"/>
      <c r="D252" s="162"/>
      <c r="E252" s="166"/>
      <c r="F252" s="167"/>
      <c r="G252" s="167"/>
    </row>
    <row r="253" spans="1:7" x14ac:dyDescent="0.25">
      <c r="A253" s="162"/>
      <c r="B253" s="162"/>
      <c r="C253" s="162"/>
      <c r="D253" s="162"/>
      <c r="E253" s="166"/>
      <c r="F253" s="167"/>
      <c r="G253" s="167"/>
    </row>
    <row r="254" spans="1:7" x14ac:dyDescent="0.25">
      <c r="A254" s="162"/>
      <c r="B254" s="162"/>
      <c r="C254" s="162"/>
      <c r="D254" s="162"/>
      <c r="E254" s="166"/>
      <c r="F254" s="167"/>
      <c r="G254" s="167"/>
    </row>
    <row r="255" spans="1:7" x14ac:dyDescent="0.25">
      <c r="A255" s="162"/>
      <c r="B255" s="162"/>
      <c r="C255" s="162"/>
      <c r="D255" s="162"/>
      <c r="E255" s="166"/>
      <c r="F255" s="167"/>
      <c r="G255" s="167"/>
    </row>
    <row r="256" spans="1:7" x14ac:dyDescent="0.25">
      <c r="A256" s="162"/>
      <c r="B256" s="162"/>
      <c r="C256" s="162"/>
      <c r="D256" s="162"/>
      <c r="E256" s="166"/>
      <c r="F256" s="167"/>
      <c r="G256" s="167"/>
    </row>
    <row r="257" spans="1:7" x14ac:dyDescent="0.25">
      <c r="A257" s="162"/>
      <c r="B257" s="162"/>
      <c r="C257" s="162"/>
      <c r="D257" s="162"/>
      <c r="E257" s="166"/>
      <c r="F257" s="167"/>
      <c r="G257" s="167"/>
    </row>
    <row r="258" spans="1:7" x14ac:dyDescent="0.25">
      <c r="A258" s="162"/>
      <c r="B258" s="162"/>
      <c r="C258" s="162"/>
      <c r="D258" s="162"/>
      <c r="E258" s="166"/>
      <c r="F258" s="167"/>
      <c r="G258" s="167"/>
    </row>
    <row r="259" spans="1:7" x14ac:dyDescent="0.25">
      <c r="A259" s="162"/>
      <c r="B259" s="162"/>
      <c r="C259" s="162"/>
      <c r="D259" s="162"/>
      <c r="E259" s="166"/>
      <c r="F259" s="167"/>
      <c r="G259" s="167"/>
    </row>
    <row r="260" spans="1:7" x14ac:dyDescent="0.25">
      <c r="A260" s="162"/>
      <c r="B260" s="162"/>
      <c r="C260" s="162"/>
      <c r="D260" s="162"/>
      <c r="E260" s="166"/>
      <c r="F260" s="167"/>
      <c r="G260" s="167"/>
    </row>
    <row r="261" spans="1:7" x14ac:dyDescent="0.25">
      <c r="A261" s="162"/>
      <c r="B261" s="162"/>
      <c r="C261" s="162"/>
      <c r="D261" s="162"/>
      <c r="E261" s="166"/>
      <c r="F261" s="167"/>
      <c r="G261" s="167"/>
    </row>
    <row r="262" spans="1:7" x14ac:dyDescent="0.25">
      <c r="A262" s="162"/>
      <c r="B262" s="162"/>
      <c r="C262" s="162"/>
      <c r="D262" s="162"/>
      <c r="E262" s="166"/>
      <c r="F262" s="167"/>
      <c r="G262" s="167"/>
    </row>
    <row r="263" spans="1:7" x14ac:dyDescent="0.25">
      <c r="A263" s="162"/>
      <c r="B263" s="162"/>
      <c r="C263" s="162"/>
      <c r="D263" s="162"/>
      <c r="E263" s="166"/>
      <c r="F263" s="167"/>
      <c r="G263" s="167"/>
    </row>
    <row r="264" spans="1:7" x14ac:dyDescent="0.25">
      <c r="A264" s="162"/>
      <c r="B264" s="162"/>
      <c r="C264" s="162"/>
      <c r="D264" s="162"/>
      <c r="E264" s="166"/>
      <c r="F264" s="167"/>
      <c r="G264" s="167"/>
    </row>
    <row r="265" spans="1:7" x14ac:dyDescent="0.25">
      <c r="A265" s="162"/>
      <c r="B265" s="162"/>
      <c r="C265" s="162"/>
      <c r="D265" s="162"/>
      <c r="E265" s="166"/>
      <c r="F265" s="167"/>
      <c r="G265" s="167"/>
    </row>
    <row r="266" spans="1:7" x14ac:dyDescent="0.25">
      <c r="A266" s="162"/>
      <c r="B266" s="162"/>
      <c r="C266" s="162"/>
      <c r="D266" s="162"/>
      <c r="E266" s="166"/>
      <c r="F266" s="167"/>
      <c r="G266" s="167"/>
    </row>
    <row r="267" spans="1:7" x14ac:dyDescent="0.25">
      <c r="A267" s="162"/>
      <c r="B267" s="162"/>
      <c r="C267" s="162"/>
      <c r="D267" s="162"/>
      <c r="E267" s="166"/>
      <c r="F267" s="167"/>
      <c r="G267" s="167"/>
    </row>
    <row r="268" spans="1:7" x14ac:dyDescent="0.25">
      <c r="A268" s="162"/>
      <c r="B268" s="162"/>
      <c r="C268" s="162"/>
      <c r="D268" s="162"/>
      <c r="E268" s="166"/>
      <c r="F268" s="167"/>
      <c r="G268" s="167"/>
    </row>
    <row r="269" spans="1:7" x14ac:dyDescent="0.25">
      <c r="A269" s="162"/>
      <c r="B269" s="162"/>
      <c r="C269" s="162"/>
      <c r="D269" s="162"/>
      <c r="E269" s="166"/>
      <c r="F269" s="167"/>
      <c r="G269" s="167"/>
    </row>
    <row r="270" spans="1:7" x14ac:dyDescent="0.25">
      <c r="A270" s="162"/>
      <c r="B270" s="162"/>
      <c r="C270" s="162"/>
      <c r="D270" s="162"/>
      <c r="E270" s="166"/>
      <c r="F270" s="167"/>
      <c r="G270" s="167"/>
    </row>
    <row r="271" spans="1:7" x14ac:dyDescent="0.25">
      <c r="A271" s="162"/>
      <c r="B271" s="162"/>
      <c r="C271" s="162"/>
      <c r="D271" s="162"/>
      <c r="E271" s="166"/>
      <c r="F271" s="167"/>
      <c r="G271" s="167"/>
    </row>
    <row r="272" spans="1:7" x14ac:dyDescent="0.25">
      <c r="A272" s="162"/>
      <c r="B272" s="162"/>
      <c r="C272" s="162"/>
      <c r="D272" s="162"/>
      <c r="E272" s="166"/>
      <c r="F272" s="167"/>
      <c r="G272" s="167"/>
    </row>
    <row r="273" spans="1:7" x14ac:dyDescent="0.25">
      <c r="A273" s="162"/>
      <c r="B273" s="162"/>
      <c r="C273" s="162"/>
      <c r="D273" s="162"/>
      <c r="E273" s="166"/>
      <c r="F273" s="167"/>
      <c r="G273" s="167"/>
    </row>
    <row r="274" spans="1:7" x14ac:dyDescent="0.25">
      <c r="A274" s="162"/>
      <c r="B274" s="162"/>
      <c r="C274" s="162"/>
      <c r="D274" s="162"/>
      <c r="E274" s="166"/>
      <c r="F274" s="167"/>
      <c r="G274" s="167"/>
    </row>
    <row r="275" spans="1:7" x14ac:dyDescent="0.25">
      <c r="A275" s="162"/>
      <c r="B275" s="162"/>
      <c r="C275" s="162"/>
      <c r="D275" s="162"/>
      <c r="E275" s="166"/>
      <c r="F275" s="167"/>
      <c r="G275" s="167"/>
    </row>
    <row r="276" spans="1:7" x14ac:dyDescent="0.25">
      <c r="A276" s="162"/>
      <c r="B276" s="162"/>
      <c r="C276" s="162"/>
      <c r="D276" s="162"/>
      <c r="E276" s="166"/>
      <c r="F276" s="167"/>
      <c r="G276" s="167"/>
    </row>
    <row r="277" spans="1:7" x14ac:dyDescent="0.25">
      <c r="A277" s="162"/>
      <c r="B277" s="162"/>
      <c r="C277" s="162"/>
      <c r="D277" s="162"/>
      <c r="E277" s="166"/>
      <c r="F277" s="167"/>
      <c r="G277" s="167"/>
    </row>
    <row r="278" spans="1:7" x14ac:dyDescent="0.25">
      <c r="A278" s="162"/>
      <c r="B278" s="162"/>
      <c r="C278" s="162"/>
      <c r="D278" s="162"/>
      <c r="E278" s="166"/>
      <c r="F278" s="167"/>
      <c r="G278" s="167"/>
    </row>
    <row r="279" spans="1:7" x14ac:dyDescent="0.25">
      <c r="A279" s="162"/>
      <c r="B279" s="162"/>
      <c r="C279" s="162"/>
      <c r="D279" s="162"/>
      <c r="E279" s="166"/>
      <c r="F279" s="167"/>
      <c r="G279" s="167"/>
    </row>
    <row r="280" spans="1:7" x14ac:dyDescent="0.25">
      <c r="A280" s="162"/>
      <c r="B280" s="162"/>
      <c r="C280" s="162"/>
      <c r="D280" s="162"/>
      <c r="E280" s="166"/>
      <c r="F280" s="167"/>
      <c r="G280" s="167"/>
    </row>
    <row r="281" spans="1:7" x14ac:dyDescent="0.25">
      <c r="A281" s="162"/>
      <c r="B281" s="162"/>
      <c r="C281" s="162"/>
      <c r="D281" s="162"/>
      <c r="E281" s="166"/>
      <c r="F281" s="167"/>
      <c r="G281" s="167"/>
    </row>
    <row r="282" spans="1:7" x14ac:dyDescent="0.25">
      <c r="A282" s="162"/>
      <c r="B282" s="162"/>
      <c r="C282" s="162"/>
      <c r="D282" s="162"/>
      <c r="E282" s="166"/>
      <c r="F282" s="167"/>
      <c r="G282" s="167"/>
    </row>
    <row r="283" spans="1:7" x14ac:dyDescent="0.25">
      <c r="A283" s="162"/>
      <c r="B283" s="162"/>
      <c r="C283" s="162"/>
      <c r="D283" s="162"/>
      <c r="E283" s="166"/>
      <c r="F283" s="167"/>
      <c r="G283" s="167"/>
    </row>
    <row r="284" spans="1:7" x14ac:dyDescent="0.25">
      <c r="A284" s="162"/>
      <c r="B284" s="162"/>
      <c r="C284" s="162"/>
      <c r="D284" s="162"/>
      <c r="E284" s="166"/>
      <c r="F284" s="167"/>
      <c r="G284" s="167"/>
    </row>
    <row r="285" spans="1:7" x14ac:dyDescent="0.25">
      <c r="A285" s="162"/>
      <c r="B285" s="162"/>
      <c r="C285" s="162"/>
      <c r="D285" s="162"/>
      <c r="E285" s="166"/>
      <c r="F285" s="167"/>
      <c r="G285" s="167"/>
    </row>
    <row r="286" spans="1:7" x14ac:dyDescent="0.25">
      <c r="A286" s="162"/>
      <c r="B286" s="162"/>
      <c r="C286" s="162"/>
      <c r="D286" s="162"/>
      <c r="E286" s="166"/>
      <c r="F286" s="167"/>
      <c r="G286" s="167"/>
    </row>
    <row r="287" spans="1:7" x14ac:dyDescent="0.25">
      <c r="A287" s="162"/>
      <c r="B287" s="162"/>
      <c r="C287" s="162"/>
      <c r="D287" s="162"/>
      <c r="E287" s="166"/>
      <c r="F287" s="167"/>
      <c r="G287" s="167"/>
    </row>
    <row r="288" spans="1:7" x14ac:dyDescent="0.25">
      <c r="A288" s="162"/>
      <c r="B288" s="162"/>
      <c r="C288" s="162"/>
      <c r="D288" s="162"/>
      <c r="E288" s="166"/>
      <c r="F288" s="167"/>
      <c r="G288" s="167"/>
    </row>
    <row r="289" spans="1:7" x14ac:dyDescent="0.25">
      <c r="A289" s="162"/>
      <c r="B289" s="162"/>
      <c r="C289" s="162"/>
      <c r="D289" s="162"/>
      <c r="E289" s="166"/>
      <c r="F289" s="167"/>
      <c r="G289" s="167"/>
    </row>
    <row r="290" spans="1:7" x14ac:dyDescent="0.25">
      <c r="A290" s="162"/>
      <c r="B290" s="162"/>
      <c r="C290" s="162"/>
      <c r="D290" s="162"/>
      <c r="E290" s="166"/>
      <c r="F290" s="167"/>
      <c r="G290" s="167"/>
    </row>
    <row r="291" spans="1:7" x14ac:dyDescent="0.25">
      <c r="A291" s="162"/>
      <c r="B291" s="162"/>
      <c r="C291" s="162"/>
      <c r="D291" s="162"/>
      <c r="E291" s="166"/>
      <c r="F291" s="167"/>
      <c r="G291" s="167"/>
    </row>
    <row r="292" spans="1:7" x14ac:dyDescent="0.25">
      <c r="A292" s="162"/>
      <c r="B292" s="162"/>
      <c r="C292" s="162"/>
      <c r="D292" s="162"/>
      <c r="E292" s="166"/>
      <c r="F292" s="167"/>
      <c r="G292" s="167"/>
    </row>
    <row r="293" spans="1:7" x14ac:dyDescent="0.25">
      <c r="A293" s="162"/>
      <c r="B293" s="162"/>
      <c r="C293" s="162"/>
      <c r="D293" s="162"/>
      <c r="E293" s="166"/>
      <c r="F293" s="167"/>
      <c r="G293" s="167"/>
    </row>
    <row r="294" spans="1:7" x14ac:dyDescent="0.25">
      <c r="A294" s="162"/>
      <c r="B294" s="162"/>
      <c r="C294" s="162"/>
      <c r="D294" s="162"/>
      <c r="E294" s="166"/>
      <c r="F294" s="167"/>
      <c r="G294" s="167"/>
    </row>
    <row r="295" spans="1:7" x14ac:dyDescent="0.25">
      <c r="A295" s="162"/>
      <c r="B295" s="162"/>
      <c r="C295" s="162"/>
      <c r="D295" s="162"/>
      <c r="E295" s="166"/>
      <c r="F295" s="167"/>
      <c r="G295" s="167"/>
    </row>
    <row r="296" spans="1:7" x14ac:dyDescent="0.25">
      <c r="A296" s="162"/>
      <c r="B296" s="162"/>
      <c r="C296" s="162"/>
      <c r="D296" s="162"/>
      <c r="E296" s="166"/>
      <c r="F296" s="167"/>
      <c r="G296" s="167"/>
    </row>
    <row r="297" spans="1:7" x14ac:dyDescent="0.25">
      <c r="A297" s="162"/>
      <c r="B297" s="162"/>
      <c r="C297" s="162"/>
      <c r="D297" s="162"/>
      <c r="E297" s="166"/>
      <c r="F297" s="167"/>
      <c r="G297" s="167"/>
    </row>
    <row r="298" spans="1:7" x14ac:dyDescent="0.25">
      <c r="A298" s="162"/>
      <c r="B298" s="162"/>
      <c r="C298" s="162"/>
      <c r="D298" s="162"/>
      <c r="E298" s="166"/>
      <c r="F298" s="167"/>
      <c r="G298" s="167"/>
    </row>
    <row r="299" spans="1:7" x14ac:dyDescent="0.25">
      <c r="A299" s="162"/>
      <c r="B299" s="162"/>
      <c r="C299" s="162"/>
      <c r="D299" s="162"/>
      <c r="E299" s="166"/>
      <c r="F299" s="167"/>
      <c r="G299" s="167"/>
    </row>
    <row r="300" spans="1:7" x14ac:dyDescent="0.25">
      <c r="A300" s="162"/>
      <c r="B300" s="162"/>
      <c r="C300" s="162"/>
      <c r="D300" s="162"/>
      <c r="E300" s="166"/>
      <c r="F300" s="167"/>
      <c r="G300" s="167"/>
    </row>
    <row r="301" spans="1:7" x14ac:dyDescent="0.25">
      <c r="A301" s="162"/>
      <c r="B301" s="162"/>
      <c r="C301" s="162"/>
      <c r="D301" s="162"/>
      <c r="E301" s="166"/>
      <c r="F301" s="167"/>
      <c r="G301" s="167"/>
    </row>
    <row r="302" spans="1:7" x14ac:dyDescent="0.25">
      <c r="A302" s="162"/>
      <c r="B302" s="162"/>
      <c r="C302" s="162"/>
      <c r="D302" s="162"/>
      <c r="E302" s="166"/>
      <c r="F302" s="167"/>
      <c r="G302" s="167"/>
    </row>
    <row r="303" spans="1:7" x14ac:dyDescent="0.25">
      <c r="A303" s="162"/>
      <c r="B303" s="162"/>
      <c r="C303" s="162"/>
      <c r="D303" s="162"/>
      <c r="E303" s="166"/>
      <c r="F303" s="167"/>
      <c r="G303" s="167"/>
    </row>
    <row r="304" spans="1:7" x14ac:dyDescent="0.25">
      <c r="A304" s="162"/>
      <c r="B304" s="162"/>
      <c r="C304" s="162"/>
      <c r="D304" s="162"/>
      <c r="E304" s="166"/>
      <c r="F304" s="167"/>
      <c r="G304" s="167"/>
    </row>
    <row r="305" spans="1:7" x14ac:dyDescent="0.25">
      <c r="A305" s="162"/>
      <c r="B305" s="162"/>
      <c r="C305" s="162"/>
      <c r="D305" s="162"/>
      <c r="E305" s="166"/>
      <c r="F305" s="167"/>
      <c r="G305" s="167"/>
    </row>
    <row r="306" spans="1:7" x14ac:dyDescent="0.25">
      <c r="A306" s="162"/>
      <c r="B306" s="162"/>
      <c r="C306" s="162"/>
      <c r="D306" s="162"/>
      <c r="E306" s="166"/>
      <c r="F306" s="167"/>
      <c r="G306" s="167"/>
    </row>
    <row r="307" spans="1:7" x14ac:dyDescent="0.25">
      <c r="A307" s="162"/>
      <c r="B307" s="162"/>
      <c r="C307" s="162"/>
      <c r="D307" s="162"/>
      <c r="E307" s="166"/>
      <c r="F307" s="167"/>
      <c r="G307" s="167"/>
    </row>
    <row r="308" spans="1:7" x14ac:dyDescent="0.25">
      <c r="A308" s="162"/>
      <c r="B308" s="162"/>
      <c r="C308" s="162"/>
      <c r="D308" s="162"/>
      <c r="E308" s="166"/>
      <c r="F308" s="167"/>
      <c r="G308" s="167"/>
    </row>
    <row r="309" spans="1:7" x14ac:dyDescent="0.25">
      <c r="A309" s="162"/>
      <c r="B309" s="162"/>
      <c r="C309" s="162"/>
      <c r="D309" s="162"/>
      <c r="E309" s="166"/>
      <c r="F309" s="167"/>
      <c r="G309" s="167"/>
    </row>
    <row r="310" spans="1:7" x14ac:dyDescent="0.25">
      <c r="A310" s="162"/>
      <c r="B310" s="162"/>
      <c r="C310" s="162"/>
      <c r="D310" s="162"/>
      <c r="E310" s="166"/>
      <c r="F310" s="167"/>
      <c r="G310" s="167"/>
    </row>
    <row r="311" spans="1:7" x14ac:dyDescent="0.25">
      <c r="A311" s="162"/>
      <c r="B311" s="162"/>
      <c r="C311" s="162"/>
      <c r="D311" s="162"/>
      <c r="E311" s="166"/>
      <c r="F311" s="167"/>
      <c r="G311" s="167"/>
    </row>
    <row r="312" spans="1:7" x14ac:dyDescent="0.25">
      <c r="A312" s="162"/>
      <c r="B312" s="162"/>
      <c r="C312" s="162"/>
      <c r="D312" s="162"/>
      <c r="E312" s="166"/>
      <c r="F312" s="167"/>
      <c r="G312" s="167"/>
    </row>
    <row r="313" spans="1:7" x14ac:dyDescent="0.25">
      <c r="A313" s="162"/>
      <c r="B313" s="162"/>
      <c r="C313" s="162"/>
      <c r="D313" s="162"/>
      <c r="E313" s="166"/>
      <c r="F313" s="167"/>
      <c r="G313" s="167"/>
    </row>
    <row r="314" spans="1:7" x14ac:dyDescent="0.25">
      <c r="A314" s="162"/>
      <c r="B314" s="162"/>
      <c r="C314" s="162"/>
      <c r="D314" s="162"/>
      <c r="E314" s="166"/>
      <c r="F314" s="167"/>
      <c r="G314" s="167"/>
    </row>
    <row r="315" spans="1:7" x14ac:dyDescent="0.25">
      <c r="A315" s="162"/>
      <c r="B315" s="162"/>
      <c r="C315" s="162"/>
      <c r="D315" s="162"/>
      <c r="E315" s="166"/>
      <c r="F315" s="167"/>
      <c r="G315" s="167"/>
    </row>
    <row r="316" spans="1:7" x14ac:dyDescent="0.25">
      <c r="A316" s="162"/>
      <c r="B316" s="162"/>
      <c r="C316" s="162"/>
      <c r="D316" s="162"/>
      <c r="E316" s="166"/>
      <c r="F316" s="167"/>
      <c r="G316" s="167"/>
    </row>
    <row r="317" spans="1:7" x14ac:dyDescent="0.25">
      <c r="A317" s="162"/>
      <c r="B317" s="162"/>
      <c r="C317" s="162"/>
      <c r="D317" s="162"/>
      <c r="E317" s="166"/>
      <c r="F317" s="167"/>
      <c r="G317" s="167"/>
    </row>
    <row r="318" spans="1:7" x14ac:dyDescent="0.25">
      <c r="A318" s="162"/>
      <c r="B318" s="162"/>
      <c r="C318" s="162"/>
      <c r="D318" s="162"/>
      <c r="E318" s="166"/>
      <c r="F318" s="167"/>
      <c r="G318" s="167"/>
    </row>
    <row r="319" spans="1:7" x14ac:dyDescent="0.25">
      <c r="A319" s="162"/>
      <c r="B319" s="162"/>
      <c r="C319" s="162"/>
      <c r="D319" s="162"/>
      <c r="E319" s="166"/>
      <c r="F319" s="167"/>
      <c r="G319" s="167"/>
    </row>
    <row r="320" spans="1:7" x14ac:dyDescent="0.25">
      <c r="A320" s="162"/>
      <c r="B320" s="162"/>
      <c r="C320" s="162"/>
      <c r="D320" s="162"/>
      <c r="E320" s="166"/>
      <c r="F320" s="167"/>
      <c r="G320" s="167"/>
    </row>
    <row r="321" spans="1:7" x14ac:dyDescent="0.25">
      <c r="A321" s="162"/>
      <c r="B321" s="162"/>
      <c r="C321" s="162"/>
      <c r="D321" s="162"/>
      <c r="E321" s="166"/>
      <c r="F321" s="167"/>
      <c r="G321" s="167"/>
    </row>
    <row r="322" spans="1:7" x14ac:dyDescent="0.25">
      <c r="A322" s="162"/>
      <c r="B322" s="162"/>
      <c r="C322" s="162"/>
      <c r="D322" s="162"/>
      <c r="E322" s="166"/>
      <c r="F322" s="167"/>
      <c r="G322" s="167"/>
    </row>
    <row r="323" spans="1:7" x14ac:dyDescent="0.25">
      <c r="A323" s="162"/>
      <c r="B323" s="162"/>
      <c r="C323" s="162"/>
      <c r="D323" s="162"/>
      <c r="E323" s="166"/>
      <c r="F323" s="167"/>
      <c r="G323" s="167"/>
    </row>
    <row r="324" spans="1:7" x14ac:dyDescent="0.25">
      <c r="A324" s="162"/>
      <c r="B324" s="162"/>
      <c r="C324" s="162"/>
      <c r="D324" s="162"/>
      <c r="E324" s="166"/>
      <c r="F324" s="167"/>
      <c r="G324" s="167"/>
    </row>
    <row r="325" spans="1:7" x14ac:dyDescent="0.25">
      <c r="A325" s="162"/>
      <c r="B325" s="162"/>
      <c r="C325" s="162"/>
      <c r="D325" s="162"/>
      <c r="E325" s="166"/>
      <c r="F325" s="167"/>
      <c r="G325" s="167"/>
    </row>
    <row r="326" spans="1:7" x14ac:dyDescent="0.25">
      <c r="A326" s="162"/>
      <c r="B326" s="162"/>
      <c r="C326" s="162"/>
      <c r="D326" s="162"/>
      <c r="E326" s="166"/>
      <c r="F326" s="167"/>
      <c r="G326" s="167"/>
    </row>
    <row r="327" spans="1:7" x14ac:dyDescent="0.25">
      <c r="A327" s="162"/>
      <c r="B327" s="162"/>
      <c r="C327" s="162"/>
      <c r="D327" s="162"/>
      <c r="E327" s="166"/>
      <c r="F327" s="167"/>
      <c r="G327" s="167"/>
    </row>
    <row r="328" spans="1:7" x14ac:dyDescent="0.25">
      <c r="A328" s="162"/>
      <c r="B328" s="162"/>
      <c r="C328" s="162"/>
      <c r="D328" s="162"/>
      <c r="E328" s="166"/>
      <c r="F328" s="167"/>
      <c r="G328" s="167"/>
    </row>
    <row r="329" spans="1:7" x14ac:dyDescent="0.25">
      <c r="A329" s="162"/>
      <c r="B329" s="162"/>
      <c r="C329" s="162"/>
      <c r="D329" s="162"/>
      <c r="E329" s="166"/>
      <c r="F329" s="167"/>
      <c r="G329" s="167"/>
    </row>
    <row r="330" spans="1:7" x14ac:dyDescent="0.25">
      <c r="A330" s="162"/>
      <c r="B330" s="162"/>
      <c r="C330" s="162"/>
      <c r="D330" s="162"/>
      <c r="E330" s="166"/>
      <c r="F330" s="167"/>
      <c r="G330" s="167"/>
    </row>
    <row r="331" spans="1:7" x14ac:dyDescent="0.25">
      <c r="A331" s="162"/>
      <c r="B331" s="162"/>
      <c r="C331" s="162"/>
      <c r="D331" s="162"/>
      <c r="E331" s="166"/>
      <c r="F331" s="167"/>
      <c r="G331" s="167"/>
    </row>
    <row r="332" spans="1:7" x14ac:dyDescent="0.25">
      <c r="A332" s="162"/>
      <c r="B332" s="162"/>
      <c r="C332" s="162"/>
      <c r="D332" s="162"/>
      <c r="E332" s="166"/>
      <c r="F332" s="167"/>
      <c r="G332" s="167"/>
    </row>
    <row r="333" spans="1:7" x14ac:dyDescent="0.25">
      <c r="A333" s="162"/>
      <c r="B333" s="162"/>
      <c r="C333" s="162"/>
      <c r="D333" s="162"/>
      <c r="E333" s="166"/>
      <c r="F333" s="167"/>
      <c r="G333" s="167"/>
    </row>
    <row r="334" spans="1:7" x14ac:dyDescent="0.25">
      <c r="A334" s="162"/>
      <c r="B334" s="162"/>
      <c r="C334" s="162"/>
      <c r="D334" s="162"/>
      <c r="E334" s="166"/>
      <c r="F334" s="167"/>
      <c r="G334" s="167"/>
    </row>
    <row r="335" spans="1:7" x14ac:dyDescent="0.25">
      <c r="A335" s="162"/>
      <c r="B335" s="162"/>
      <c r="C335" s="162"/>
      <c r="D335" s="162"/>
      <c r="E335" s="166"/>
      <c r="F335" s="167"/>
      <c r="G335" s="167"/>
    </row>
    <row r="336" spans="1:7" x14ac:dyDescent="0.25">
      <c r="A336" s="162"/>
      <c r="B336" s="162"/>
      <c r="C336" s="162"/>
      <c r="D336" s="162"/>
      <c r="E336" s="166"/>
      <c r="F336" s="167"/>
      <c r="G336" s="167"/>
    </row>
    <row r="337" spans="1:7" x14ac:dyDescent="0.25">
      <c r="A337" s="162"/>
      <c r="B337" s="162"/>
      <c r="C337" s="162"/>
      <c r="D337" s="162"/>
      <c r="E337" s="166"/>
      <c r="F337" s="167"/>
      <c r="G337" s="167"/>
    </row>
    <row r="338" spans="1:7" x14ac:dyDescent="0.25">
      <c r="A338" s="162"/>
      <c r="B338" s="162"/>
      <c r="C338" s="162"/>
      <c r="D338" s="162"/>
      <c r="E338" s="166"/>
      <c r="F338" s="167"/>
      <c r="G338" s="167"/>
    </row>
    <row r="339" spans="1:7" x14ac:dyDescent="0.25">
      <c r="A339" s="162"/>
      <c r="B339" s="162"/>
      <c r="C339" s="162"/>
      <c r="D339" s="162"/>
      <c r="E339" s="166"/>
      <c r="F339" s="167"/>
      <c r="G339" s="167"/>
    </row>
    <row r="340" spans="1:7" x14ac:dyDescent="0.25">
      <c r="A340" s="162"/>
      <c r="B340" s="162"/>
      <c r="C340" s="162"/>
      <c r="D340" s="162"/>
      <c r="E340" s="166"/>
      <c r="F340" s="167"/>
      <c r="G340" s="167"/>
    </row>
    <row r="341" spans="1:7" x14ac:dyDescent="0.25">
      <c r="A341" s="162"/>
      <c r="B341" s="162"/>
      <c r="C341" s="162"/>
      <c r="D341" s="162"/>
      <c r="E341" s="166"/>
      <c r="F341" s="167"/>
      <c r="G341" s="167"/>
    </row>
    <row r="342" spans="1:7" x14ac:dyDescent="0.25">
      <c r="A342" s="162"/>
      <c r="B342" s="162"/>
      <c r="C342" s="162"/>
      <c r="D342" s="162"/>
      <c r="E342" s="166"/>
      <c r="F342" s="167"/>
      <c r="G342" s="167"/>
    </row>
    <row r="343" spans="1:7" x14ac:dyDescent="0.25">
      <c r="A343" s="162"/>
      <c r="B343" s="162"/>
      <c r="C343" s="162"/>
      <c r="D343" s="162"/>
      <c r="E343" s="166"/>
      <c r="F343" s="167"/>
      <c r="G343" s="167"/>
    </row>
    <row r="344" spans="1:7" x14ac:dyDescent="0.25">
      <c r="A344" s="162"/>
      <c r="B344" s="162"/>
      <c r="C344" s="162"/>
      <c r="D344" s="162"/>
      <c r="E344" s="166"/>
      <c r="F344" s="167"/>
      <c r="G344" s="167"/>
    </row>
    <row r="345" spans="1:7" x14ac:dyDescent="0.25">
      <c r="A345" s="162"/>
      <c r="B345" s="162"/>
      <c r="C345" s="162"/>
      <c r="D345" s="162"/>
      <c r="E345" s="166"/>
      <c r="F345" s="167"/>
      <c r="G345" s="167"/>
    </row>
    <row r="346" spans="1:7" x14ac:dyDescent="0.25">
      <c r="A346" s="162"/>
      <c r="B346" s="162"/>
      <c r="C346" s="162"/>
      <c r="D346" s="162"/>
      <c r="E346" s="166"/>
      <c r="F346" s="167"/>
      <c r="G346" s="167"/>
    </row>
    <row r="347" spans="1:7" x14ac:dyDescent="0.25">
      <c r="A347" s="162"/>
      <c r="B347" s="162"/>
      <c r="C347" s="162"/>
      <c r="D347" s="162"/>
      <c r="E347" s="166"/>
      <c r="F347" s="167"/>
      <c r="G347" s="167"/>
    </row>
    <row r="348" spans="1:7" x14ac:dyDescent="0.25">
      <c r="A348" s="162"/>
      <c r="B348" s="162"/>
      <c r="C348" s="162"/>
      <c r="D348" s="162"/>
      <c r="E348" s="166"/>
      <c r="F348" s="167"/>
      <c r="G348" s="167"/>
    </row>
    <row r="349" spans="1:7" x14ac:dyDescent="0.25">
      <c r="A349" s="162"/>
      <c r="B349" s="162"/>
      <c r="C349" s="162"/>
      <c r="D349" s="162"/>
      <c r="E349" s="166"/>
      <c r="F349" s="167"/>
      <c r="G349" s="167"/>
    </row>
    <row r="350" spans="1:7" x14ac:dyDescent="0.25">
      <c r="A350" s="162"/>
      <c r="B350" s="162"/>
      <c r="C350" s="162"/>
      <c r="D350" s="162"/>
      <c r="E350" s="166"/>
      <c r="F350" s="167"/>
      <c r="G350" s="167"/>
    </row>
    <row r="351" spans="1:7" x14ac:dyDescent="0.25">
      <c r="A351" s="162"/>
      <c r="B351" s="162"/>
      <c r="C351" s="162"/>
      <c r="D351" s="162"/>
      <c r="E351" s="166"/>
      <c r="F351" s="167"/>
      <c r="G351" s="167"/>
    </row>
    <row r="352" spans="1:7" x14ac:dyDescent="0.25">
      <c r="A352" s="162"/>
      <c r="B352" s="162"/>
      <c r="C352" s="162"/>
      <c r="D352" s="162"/>
      <c r="E352" s="166"/>
      <c r="F352" s="167"/>
      <c r="G352" s="167"/>
    </row>
    <row r="353" spans="1:7" x14ac:dyDescent="0.25">
      <c r="A353" s="162"/>
      <c r="B353" s="162"/>
      <c r="C353" s="162"/>
      <c r="D353" s="162"/>
      <c r="E353" s="166"/>
      <c r="F353" s="167"/>
      <c r="G353" s="167"/>
    </row>
    <row r="354" spans="1:7" x14ac:dyDescent="0.25">
      <c r="A354" s="162"/>
      <c r="B354" s="162"/>
      <c r="C354" s="162"/>
      <c r="D354" s="162"/>
      <c r="E354" s="166"/>
      <c r="F354" s="167"/>
      <c r="G354" s="167"/>
    </row>
    <row r="355" spans="1:7" x14ac:dyDescent="0.25">
      <c r="A355" s="162"/>
      <c r="B355" s="162"/>
      <c r="C355" s="162"/>
      <c r="D355" s="162"/>
      <c r="E355" s="166"/>
      <c r="F355" s="167"/>
      <c r="G355" s="167"/>
    </row>
    <row r="356" spans="1:7" x14ac:dyDescent="0.25">
      <c r="A356" s="162"/>
      <c r="B356" s="162"/>
      <c r="C356" s="162"/>
      <c r="D356" s="162"/>
      <c r="E356" s="166"/>
      <c r="F356" s="167"/>
      <c r="G356" s="167"/>
    </row>
    <row r="357" spans="1:7" x14ac:dyDescent="0.25">
      <c r="A357" s="162"/>
      <c r="B357" s="162"/>
      <c r="C357" s="162"/>
      <c r="D357" s="162"/>
      <c r="E357" s="166"/>
      <c r="F357" s="167"/>
      <c r="G357" s="167"/>
    </row>
    <row r="358" spans="1:7" x14ac:dyDescent="0.25">
      <c r="A358" s="162"/>
      <c r="B358" s="162"/>
      <c r="C358" s="162"/>
      <c r="D358" s="162"/>
      <c r="E358" s="166"/>
      <c r="F358" s="167"/>
      <c r="G358" s="167"/>
    </row>
    <row r="359" spans="1:7" x14ac:dyDescent="0.25">
      <c r="A359" s="162"/>
      <c r="B359" s="162"/>
      <c r="C359" s="162"/>
      <c r="D359" s="162"/>
      <c r="E359" s="166"/>
      <c r="F359" s="167"/>
      <c r="G359" s="167"/>
    </row>
    <row r="360" spans="1:7" x14ac:dyDescent="0.25">
      <c r="A360" s="162"/>
      <c r="B360" s="162"/>
      <c r="C360" s="162"/>
      <c r="D360" s="162"/>
      <c r="E360" s="166"/>
      <c r="F360" s="167"/>
      <c r="G360" s="167"/>
    </row>
    <row r="361" spans="1:7" x14ac:dyDescent="0.25">
      <c r="A361" s="162"/>
      <c r="B361" s="162"/>
      <c r="C361" s="162"/>
      <c r="D361" s="162"/>
      <c r="E361" s="166"/>
      <c r="F361" s="167"/>
      <c r="G361" s="167"/>
    </row>
    <row r="362" spans="1:7" x14ac:dyDescent="0.25">
      <c r="A362" s="162"/>
      <c r="B362" s="162"/>
      <c r="C362" s="162"/>
      <c r="D362" s="162"/>
      <c r="E362" s="166"/>
      <c r="F362" s="167"/>
      <c r="G362" s="167"/>
    </row>
    <row r="363" spans="1:7" x14ac:dyDescent="0.25">
      <c r="A363" s="162"/>
      <c r="B363" s="162"/>
      <c r="C363" s="162"/>
      <c r="D363" s="162"/>
      <c r="E363" s="166"/>
      <c r="F363" s="167"/>
      <c r="G363" s="167"/>
    </row>
    <row r="364" spans="1:7" x14ac:dyDescent="0.25">
      <c r="A364" s="162"/>
      <c r="B364" s="162"/>
      <c r="C364" s="162"/>
      <c r="D364" s="162"/>
      <c r="E364" s="166"/>
      <c r="F364" s="167"/>
      <c r="G364" s="167"/>
    </row>
    <row r="365" spans="1:7" x14ac:dyDescent="0.25">
      <c r="A365" s="162"/>
      <c r="B365" s="162"/>
      <c r="C365" s="162"/>
      <c r="D365" s="162"/>
      <c r="E365" s="166"/>
      <c r="F365" s="167"/>
      <c r="G365" s="167"/>
    </row>
    <row r="366" spans="1:7" x14ac:dyDescent="0.25">
      <c r="A366" s="162"/>
      <c r="B366" s="162"/>
      <c r="C366" s="162"/>
      <c r="D366" s="162"/>
      <c r="E366" s="166"/>
      <c r="F366" s="167"/>
      <c r="G366" s="167"/>
    </row>
    <row r="367" spans="1:7" x14ac:dyDescent="0.25">
      <c r="A367" s="162"/>
      <c r="B367" s="162"/>
      <c r="C367" s="162"/>
      <c r="D367" s="162"/>
      <c r="E367" s="166"/>
      <c r="F367" s="167"/>
      <c r="G367" s="167"/>
    </row>
    <row r="368" spans="1:7" x14ac:dyDescent="0.25">
      <c r="A368" s="162"/>
      <c r="B368" s="162"/>
      <c r="C368" s="162"/>
      <c r="D368" s="162"/>
      <c r="E368" s="166"/>
      <c r="F368" s="167"/>
      <c r="G368" s="167"/>
    </row>
    <row r="369" spans="1:7" x14ac:dyDescent="0.25">
      <c r="A369" s="162"/>
      <c r="B369" s="162"/>
      <c r="C369" s="162"/>
      <c r="D369" s="162"/>
      <c r="E369" s="166"/>
      <c r="F369" s="167"/>
      <c r="G369" s="167"/>
    </row>
    <row r="370" spans="1:7" x14ac:dyDescent="0.25">
      <c r="A370" s="162"/>
      <c r="B370" s="162"/>
      <c r="C370" s="162"/>
      <c r="D370" s="162"/>
      <c r="E370" s="166"/>
      <c r="F370" s="167"/>
      <c r="G370" s="167"/>
    </row>
    <row r="371" spans="1:7" x14ac:dyDescent="0.25">
      <c r="A371" s="162"/>
      <c r="B371" s="162"/>
      <c r="C371" s="162"/>
      <c r="D371" s="162"/>
      <c r="E371" s="166"/>
      <c r="F371" s="167"/>
      <c r="G371" s="167"/>
    </row>
    <row r="372" spans="1:7" x14ac:dyDescent="0.25">
      <c r="A372" s="162"/>
      <c r="B372" s="162"/>
      <c r="C372" s="162"/>
      <c r="D372" s="162"/>
      <c r="E372" s="166"/>
      <c r="F372" s="167"/>
      <c r="G372" s="167"/>
    </row>
    <row r="373" spans="1:7" x14ac:dyDescent="0.25">
      <c r="A373" s="162"/>
      <c r="B373" s="162"/>
      <c r="C373" s="162"/>
      <c r="D373" s="162"/>
      <c r="E373" s="166"/>
      <c r="F373" s="167"/>
      <c r="G373" s="167"/>
    </row>
    <row r="374" spans="1:7" x14ac:dyDescent="0.25">
      <c r="A374" s="162"/>
      <c r="B374" s="162"/>
      <c r="C374" s="162"/>
      <c r="D374" s="162"/>
      <c r="E374" s="166"/>
      <c r="F374" s="167"/>
      <c r="G374" s="167"/>
    </row>
    <row r="375" spans="1:7" x14ac:dyDescent="0.25">
      <c r="A375" s="162"/>
      <c r="B375" s="162"/>
      <c r="C375" s="162"/>
      <c r="D375" s="162"/>
      <c r="E375" s="166"/>
      <c r="F375" s="167"/>
      <c r="G375" s="167"/>
    </row>
    <row r="376" spans="1:7" x14ac:dyDescent="0.25">
      <c r="A376" s="162"/>
      <c r="B376" s="162"/>
      <c r="C376" s="162"/>
      <c r="D376" s="162"/>
      <c r="E376" s="166"/>
      <c r="F376" s="167"/>
      <c r="G376" s="167"/>
    </row>
    <row r="377" spans="1:7" x14ac:dyDescent="0.25">
      <c r="A377" s="162"/>
      <c r="B377" s="162"/>
      <c r="C377" s="162"/>
      <c r="D377" s="162"/>
      <c r="E377" s="166"/>
      <c r="F377" s="167"/>
      <c r="G377" s="167"/>
    </row>
    <row r="378" spans="1:7" x14ac:dyDescent="0.25">
      <c r="A378" s="162"/>
      <c r="B378" s="162"/>
      <c r="C378" s="162"/>
      <c r="D378" s="162"/>
      <c r="E378" s="166"/>
      <c r="F378" s="167"/>
      <c r="G378" s="167"/>
    </row>
    <row r="379" spans="1:7" x14ac:dyDescent="0.25">
      <c r="A379" s="162"/>
      <c r="B379" s="162"/>
      <c r="C379" s="162"/>
      <c r="D379" s="162"/>
      <c r="E379" s="166"/>
      <c r="F379" s="167"/>
      <c r="G379" s="167"/>
    </row>
    <row r="380" spans="1:7" x14ac:dyDescent="0.25">
      <c r="A380" s="162"/>
      <c r="B380" s="162"/>
      <c r="C380" s="162"/>
      <c r="D380" s="162"/>
      <c r="E380" s="166"/>
      <c r="F380" s="167"/>
      <c r="G380" s="167"/>
    </row>
    <row r="381" spans="1:7" x14ac:dyDescent="0.25">
      <c r="A381" s="162"/>
      <c r="B381" s="162"/>
      <c r="C381" s="162"/>
      <c r="D381" s="162"/>
      <c r="E381" s="166"/>
      <c r="F381" s="167"/>
      <c r="G381" s="167"/>
    </row>
    <row r="382" spans="1:7" x14ac:dyDescent="0.25">
      <c r="A382" s="162"/>
      <c r="B382" s="162"/>
      <c r="C382" s="162"/>
      <c r="D382" s="162"/>
      <c r="E382" s="166"/>
      <c r="F382" s="167"/>
      <c r="G382" s="167"/>
    </row>
    <row r="383" spans="1:7" x14ac:dyDescent="0.25">
      <c r="A383" s="162"/>
      <c r="B383" s="162"/>
      <c r="C383" s="162"/>
      <c r="D383" s="162"/>
      <c r="E383" s="166"/>
      <c r="F383" s="167"/>
      <c r="G383" s="167"/>
    </row>
    <row r="384" spans="1:7" x14ac:dyDescent="0.25">
      <c r="A384" s="162"/>
      <c r="B384" s="162"/>
      <c r="C384" s="162"/>
      <c r="D384" s="162"/>
      <c r="E384" s="166"/>
      <c r="F384" s="167"/>
      <c r="G384" s="167"/>
    </row>
    <row r="385" spans="1:7" x14ac:dyDescent="0.25">
      <c r="A385" s="162"/>
      <c r="B385" s="162"/>
      <c r="C385" s="162"/>
      <c r="D385" s="162"/>
      <c r="E385" s="166"/>
      <c r="F385" s="167"/>
      <c r="G385" s="167"/>
    </row>
    <row r="386" spans="1:7" x14ac:dyDescent="0.25">
      <c r="A386" s="162"/>
      <c r="B386" s="162"/>
      <c r="C386" s="162"/>
      <c r="D386" s="162"/>
      <c r="E386" s="166"/>
      <c r="F386" s="167"/>
      <c r="G386" s="167"/>
    </row>
    <row r="387" spans="1:7" x14ac:dyDescent="0.25">
      <c r="A387" s="162"/>
      <c r="B387" s="162"/>
      <c r="C387" s="162"/>
      <c r="D387" s="162"/>
      <c r="E387" s="166"/>
      <c r="F387" s="167"/>
      <c r="G387" s="167"/>
    </row>
    <row r="388" spans="1:7" x14ac:dyDescent="0.25">
      <c r="A388" s="162"/>
      <c r="B388" s="162"/>
      <c r="C388" s="162"/>
      <c r="D388" s="162"/>
      <c r="E388" s="166"/>
      <c r="F388" s="167"/>
      <c r="G388" s="167"/>
    </row>
    <row r="389" spans="1:7" x14ac:dyDescent="0.25">
      <c r="A389" s="162"/>
      <c r="B389" s="162"/>
      <c r="C389" s="162"/>
      <c r="D389" s="162"/>
      <c r="E389" s="166"/>
      <c r="F389" s="167"/>
      <c r="G389" s="167"/>
    </row>
    <row r="390" spans="1:7" x14ac:dyDescent="0.25">
      <c r="A390" s="162"/>
      <c r="B390" s="162"/>
      <c r="C390" s="162"/>
      <c r="D390" s="162"/>
      <c r="E390" s="166"/>
      <c r="F390" s="167"/>
      <c r="G390" s="167"/>
    </row>
    <row r="391" spans="1:7" x14ac:dyDescent="0.25">
      <c r="A391" s="162"/>
      <c r="B391" s="162"/>
      <c r="C391" s="162"/>
      <c r="D391" s="162"/>
      <c r="E391" s="166"/>
      <c r="F391" s="167"/>
      <c r="G391" s="167"/>
    </row>
    <row r="392" spans="1:7" x14ac:dyDescent="0.25">
      <c r="A392" s="162"/>
      <c r="B392" s="162"/>
      <c r="C392" s="162"/>
      <c r="D392" s="162"/>
      <c r="E392" s="166"/>
      <c r="F392" s="167"/>
      <c r="G392" s="167"/>
    </row>
    <row r="393" spans="1:7" x14ac:dyDescent="0.25">
      <c r="A393" s="162"/>
      <c r="B393" s="162"/>
      <c r="C393" s="162"/>
      <c r="D393" s="162"/>
      <c r="E393" s="166"/>
      <c r="F393" s="167"/>
      <c r="G393" s="167"/>
    </row>
    <row r="394" spans="1:7" x14ac:dyDescent="0.25">
      <c r="A394" s="162"/>
      <c r="B394" s="162"/>
      <c r="C394" s="162"/>
      <c r="D394" s="162"/>
      <c r="E394" s="166"/>
      <c r="F394" s="167"/>
      <c r="G394" s="167"/>
    </row>
    <row r="395" spans="1:7" x14ac:dyDescent="0.25">
      <c r="A395" s="162"/>
      <c r="B395" s="162"/>
      <c r="C395" s="162"/>
      <c r="D395" s="162"/>
      <c r="E395" s="166"/>
      <c r="F395" s="167"/>
      <c r="G395" s="167"/>
    </row>
    <row r="396" spans="1:7" x14ac:dyDescent="0.25">
      <c r="A396" s="162"/>
      <c r="B396" s="162"/>
      <c r="C396" s="162"/>
      <c r="D396" s="162"/>
      <c r="E396" s="166"/>
      <c r="F396" s="167"/>
      <c r="G396" s="167"/>
    </row>
    <row r="397" spans="1:7" x14ac:dyDescent="0.25">
      <c r="A397" s="162"/>
      <c r="B397" s="162"/>
      <c r="C397" s="162"/>
      <c r="D397" s="162"/>
      <c r="E397" s="166"/>
      <c r="F397" s="167"/>
      <c r="G397" s="167"/>
    </row>
    <row r="398" spans="1:7" x14ac:dyDescent="0.25">
      <c r="A398" s="162"/>
      <c r="B398" s="162"/>
      <c r="C398" s="162"/>
      <c r="D398" s="162"/>
      <c r="E398" s="166"/>
      <c r="F398" s="167"/>
      <c r="G398" s="167"/>
    </row>
    <row r="399" spans="1:7" x14ac:dyDescent="0.25">
      <c r="A399" s="162"/>
      <c r="B399" s="162"/>
      <c r="C399" s="162"/>
      <c r="D399" s="162"/>
      <c r="E399" s="166"/>
      <c r="F399" s="167"/>
      <c r="G399" s="167"/>
    </row>
    <row r="400" spans="1:7" x14ac:dyDescent="0.25">
      <c r="A400" s="162"/>
      <c r="B400" s="162"/>
      <c r="C400" s="162"/>
      <c r="D400" s="162"/>
      <c r="E400" s="166"/>
      <c r="F400" s="167"/>
      <c r="G400" s="167"/>
    </row>
    <row r="401" spans="1:7" x14ac:dyDescent="0.25">
      <c r="A401" s="162"/>
      <c r="B401" s="162"/>
      <c r="C401" s="162"/>
      <c r="D401" s="162"/>
      <c r="E401" s="166"/>
      <c r="F401" s="167"/>
      <c r="G401" s="167"/>
    </row>
    <row r="402" spans="1:7" x14ac:dyDescent="0.25">
      <c r="A402" s="162"/>
      <c r="B402" s="162"/>
      <c r="C402" s="162"/>
      <c r="D402" s="162"/>
      <c r="E402" s="166"/>
      <c r="F402" s="167"/>
      <c r="G402" s="167"/>
    </row>
    <row r="403" spans="1:7" x14ac:dyDescent="0.25">
      <c r="A403" s="162"/>
      <c r="B403" s="162"/>
      <c r="C403" s="162"/>
      <c r="D403" s="162"/>
      <c r="E403" s="166"/>
      <c r="F403" s="167"/>
      <c r="G403" s="167"/>
    </row>
    <row r="404" spans="1:7" x14ac:dyDescent="0.25">
      <c r="A404" s="162"/>
      <c r="B404" s="162"/>
      <c r="C404" s="162"/>
      <c r="D404" s="162"/>
      <c r="E404" s="166"/>
      <c r="F404" s="167"/>
      <c r="G404" s="167"/>
    </row>
    <row r="405" spans="1:7" x14ac:dyDescent="0.25">
      <c r="A405" s="162"/>
      <c r="B405" s="162"/>
      <c r="C405" s="162"/>
      <c r="D405" s="162"/>
      <c r="E405" s="166"/>
      <c r="F405" s="167"/>
      <c r="G405" s="167"/>
    </row>
    <row r="406" spans="1:7" x14ac:dyDescent="0.25">
      <c r="A406" s="162"/>
      <c r="B406" s="162"/>
      <c r="C406" s="162"/>
      <c r="D406" s="162"/>
      <c r="E406" s="166"/>
      <c r="F406" s="167"/>
      <c r="G406" s="167"/>
    </row>
    <row r="407" spans="1:7" x14ac:dyDescent="0.25">
      <c r="A407" s="162"/>
      <c r="B407" s="162"/>
      <c r="C407" s="162"/>
      <c r="D407" s="162"/>
      <c r="E407" s="166"/>
      <c r="F407" s="167"/>
      <c r="G407" s="167"/>
    </row>
    <row r="408" spans="1:7" x14ac:dyDescent="0.25">
      <c r="A408" s="162"/>
      <c r="B408" s="162"/>
      <c r="C408" s="162"/>
      <c r="D408" s="162"/>
      <c r="E408" s="166"/>
      <c r="F408" s="167"/>
      <c r="G408" s="167"/>
    </row>
    <row r="409" spans="1:7" x14ac:dyDescent="0.25">
      <c r="A409" s="162"/>
      <c r="B409" s="162"/>
      <c r="C409" s="162"/>
      <c r="D409" s="162"/>
      <c r="E409" s="166"/>
      <c r="F409" s="167"/>
      <c r="G409" s="167"/>
    </row>
    <row r="410" spans="1:7" x14ac:dyDescent="0.25">
      <c r="A410" s="162"/>
      <c r="B410" s="162"/>
      <c r="C410" s="162"/>
      <c r="D410" s="162"/>
      <c r="E410" s="166"/>
      <c r="F410" s="167"/>
      <c r="G410" s="167"/>
    </row>
    <row r="411" spans="1:7" x14ac:dyDescent="0.25">
      <c r="A411" s="162"/>
      <c r="B411" s="162"/>
      <c r="C411" s="162"/>
      <c r="D411" s="162"/>
      <c r="E411" s="166"/>
      <c r="F411" s="167"/>
      <c r="G411" s="167"/>
    </row>
    <row r="412" spans="1:7" x14ac:dyDescent="0.25">
      <c r="A412" s="162"/>
      <c r="B412" s="162"/>
      <c r="C412" s="162"/>
      <c r="D412" s="162"/>
      <c r="E412" s="166"/>
      <c r="F412" s="167"/>
      <c r="G412" s="167"/>
    </row>
    <row r="413" spans="1:7" x14ac:dyDescent="0.25">
      <c r="A413" s="162"/>
      <c r="B413" s="162"/>
      <c r="C413" s="162"/>
      <c r="D413" s="162"/>
      <c r="E413" s="166"/>
      <c r="F413" s="167"/>
      <c r="G413" s="167"/>
    </row>
    <row r="414" spans="1:7" x14ac:dyDescent="0.25">
      <c r="A414" s="162"/>
      <c r="B414" s="162"/>
      <c r="C414" s="162"/>
      <c r="D414" s="162"/>
      <c r="E414" s="166"/>
      <c r="F414" s="167"/>
      <c r="G414" s="167"/>
    </row>
    <row r="415" spans="1:7" x14ac:dyDescent="0.25">
      <c r="A415" s="162"/>
      <c r="B415" s="162"/>
      <c r="C415" s="162"/>
      <c r="D415" s="162"/>
      <c r="E415" s="166"/>
      <c r="F415" s="167"/>
      <c r="G415" s="167"/>
    </row>
    <row r="416" spans="1:7" x14ac:dyDescent="0.25">
      <c r="A416" s="162"/>
      <c r="B416" s="162"/>
      <c r="C416" s="162"/>
      <c r="D416" s="162"/>
      <c r="E416" s="166"/>
      <c r="F416" s="167"/>
      <c r="G416" s="167"/>
    </row>
    <row r="417" spans="1:7" x14ac:dyDescent="0.25">
      <c r="A417" s="162"/>
      <c r="B417" s="162"/>
      <c r="C417" s="162"/>
      <c r="D417" s="162"/>
      <c r="E417" s="166"/>
      <c r="F417" s="167"/>
      <c r="G417" s="167"/>
    </row>
    <row r="418" spans="1:7" x14ac:dyDescent="0.25">
      <c r="A418" s="162"/>
      <c r="B418" s="162"/>
      <c r="C418" s="162"/>
      <c r="D418" s="162"/>
      <c r="E418" s="166"/>
      <c r="F418" s="167"/>
      <c r="G418" s="167"/>
    </row>
    <row r="419" spans="1:7" x14ac:dyDescent="0.25">
      <c r="A419" s="162"/>
      <c r="B419" s="162"/>
      <c r="C419" s="162"/>
      <c r="D419" s="162"/>
      <c r="E419" s="166"/>
      <c r="F419" s="167"/>
      <c r="G419" s="167"/>
    </row>
    <row r="420" spans="1:7" x14ac:dyDescent="0.25">
      <c r="A420" s="162"/>
      <c r="B420" s="162"/>
      <c r="C420" s="162"/>
      <c r="D420" s="162"/>
      <c r="E420" s="166"/>
      <c r="F420" s="167"/>
      <c r="G420" s="167"/>
    </row>
    <row r="421" spans="1:7" x14ac:dyDescent="0.25">
      <c r="A421" s="162"/>
      <c r="B421" s="162"/>
      <c r="C421" s="162"/>
      <c r="D421" s="162"/>
      <c r="E421" s="166"/>
      <c r="F421" s="167"/>
      <c r="G421" s="167"/>
    </row>
    <row r="422" spans="1:7" x14ac:dyDescent="0.25">
      <c r="A422" s="162"/>
      <c r="B422" s="162"/>
      <c r="C422" s="162"/>
      <c r="D422" s="162"/>
      <c r="E422" s="166"/>
      <c r="F422" s="167"/>
      <c r="G422" s="167"/>
    </row>
    <row r="423" spans="1:7" x14ac:dyDescent="0.25">
      <c r="A423" s="162"/>
      <c r="B423" s="162"/>
      <c r="C423" s="162"/>
      <c r="D423" s="162"/>
      <c r="E423" s="166"/>
      <c r="F423" s="167"/>
      <c r="G423" s="167"/>
    </row>
    <row r="424" spans="1:7" x14ac:dyDescent="0.25">
      <c r="A424" s="162"/>
      <c r="B424" s="162"/>
      <c r="C424" s="162"/>
      <c r="D424" s="162"/>
      <c r="E424" s="166"/>
      <c r="F424" s="167"/>
      <c r="G424" s="167"/>
    </row>
    <row r="425" spans="1:7" x14ac:dyDescent="0.25">
      <c r="A425" s="162"/>
      <c r="B425" s="162"/>
      <c r="C425" s="162"/>
      <c r="D425" s="162"/>
      <c r="E425" s="166"/>
      <c r="F425" s="167"/>
      <c r="G425" s="167"/>
    </row>
    <row r="426" spans="1:7" x14ac:dyDescent="0.25">
      <c r="A426" s="162"/>
      <c r="B426" s="162"/>
      <c r="C426" s="162"/>
      <c r="D426" s="162"/>
      <c r="E426" s="166"/>
      <c r="F426" s="167"/>
      <c r="G426" s="167"/>
    </row>
    <row r="427" spans="1:7" x14ac:dyDescent="0.25">
      <c r="A427" s="162"/>
      <c r="B427" s="162"/>
      <c r="C427" s="162"/>
      <c r="D427" s="162"/>
      <c r="E427" s="166"/>
      <c r="F427" s="167"/>
      <c r="G427" s="167"/>
    </row>
    <row r="428" spans="1:7" x14ac:dyDescent="0.25">
      <c r="A428" s="162"/>
      <c r="B428" s="162"/>
      <c r="C428" s="162"/>
      <c r="D428" s="162"/>
      <c r="E428" s="166"/>
      <c r="F428" s="167"/>
      <c r="G428" s="167"/>
    </row>
    <row r="429" spans="1:7" x14ac:dyDescent="0.25">
      <c r="A429" s="162"/>
      <c r="B429" s="162"/>
      <c r="C429" s="162"/>
      <c r="D429" s="162"/>
      <c r="E429" s="166"/>
      <c r="F429" s="167"/>
      <c r="G429" s="167"/>
    </row>
    <row r="430" spans="1:7" x14ac:dyDescent="0.25">
      <c r="A430" s="162"/>
      <c r="B430" s="162"/>
      <c r="C430" s="162"/>
      <c r="D430" s="162"/>
      <c r="E430" s="166"/>
      <c r="F430" s="167"/>
      <c r="G430" s="167"/>
    </row>
    <row r="431" spans="1:7" x14ac:dyDescent="0.25">
      <c r="A431" s="162"/>
      <c r="B431" s="162"/>
      <c r="C431" s="162"/>
      <c r="D431" s="162"/>
      <c r="E431" s="166"/>
      <c r="F431" s="167"/>
      <c r="G431" s="167"/>
    </row>
    <row r="432" spans="1:7" x14ac:dyDescent="0.25">
      <c r="A432" s="162"/>
      <c r="B432" s="162"/>
      <c r="C432" s="162"/>
      <c r="D432" s="162"/>
      <c r="E432" s="166"/>
      <c r="F432" s="167"/>
      <c r="G432" s="167"/>
    </row>
    <row r="433" spans="1:7" x14ac:dyDescent="0.25">
      <c r="A433" s="162"/>
      <c r="B433" s="162"/>
      <c r="C433" s="162"/>
      <c r="D433" s="162"/>
      <c r="E433" s="166"/>
      <c r="F433" s="167"/>
      <c r="G433" s="167"/>
    </row>
    <row r="434" spans="1:7" x14ac:dyDescent="0.25">
      <c r="A434" s="162"/>
      <c r="B434" s="162"/>
      <c r="C434" s="162"/>
      <c r="D434" s="162"/>
      <c r="E434" s="166"/>
      <c r="F434" s="167"/>
      <c r="G434" s="167"/>
    </row>
    <row r="435" spans="1:7" x14ac:dyDescent="0.25">
      <c r="A435" s="162"/>
      <c r="B435" s="162"/>
      <c r="C435" s="162"/>
      <c r="D435" s="162"/>
      <c r="E435" s="166"/>
      <c r="F435" s="167"/>
      <c r="G435" s="167"/>
    </row>
    <row r="436" spans="1:7" x14ac:dyDescent="0.25">
      <c r="A436" s="162"/>
      <c r="B436" s="162"/>
      <c r="C436" s="162"/>
      <c r="D436" s="162"/>
      <c r="E436" s="166"/>
      <c r="F436" s="167"/>
      <c r="G436" s="167"/>
    </row>
    <row r="437" spans="1:7" x14ac:dyDescent="0.25">
      <c r="A437" s="162"/>
      <c r="B437" s="162"/>
      <c r="C437" s="162"/>
      <c r="D437" s="162"/>
      <c r="E437" s="166"/>
      <c r="F437" s="167"/>
      <c r="G437" s="167"/>
    </row>
    <row r="438" spans="1:7" x14ac:dyDescent="0.25">
      <c r="A438" s="162"/>
      <c r="B438" s="162"/>
      <c r="C438" s="162"/>
      <c r="D438" s="162"/>
      <c r="E438" s="166"/>
      <c r="F438" s="167"/>
      <c r="G438" s="167"/>
    </row>
    <row r="439" spans="1:7" x14ac:dyDescent="0.25">
      <c r="A439" s="162"/>
      <c r="B439" s="162"/>
      <c r="C439" s="162"/>
      <c r="D439" s="162"/>
      <c r="E439" s="166"/>
      <c r="F439" s="167"/>
      <c r="G439" s="167"/>
    </row>
    <row r="440" spans="1:7" x14ac:dyDescent="0.25">
      <c r="A440" s="162"/>
      <c r="B440" s="162"/>
      <c r="C440" s="162"/>
      <c r="D440" s="162"/>
      <c r="E440" s="166"/>
      <c r="F440" s="167"/>
      <c r="G440" s="167"/>
    </row>
    <row r="441" spans="1:7" x14ac:dyDescent="0.25">
      <c r="A441" s="162"/>
      <c r="B441" s="162"/>
      <c r="C441" s="162"/>
      <c r="D441" s="162"/>
      <c r="E441" s="166"/>
      <c r="F441" s="167"/>
      <c r="G441" s="167"/>
    </row>
    <row r="442" spans="1:7" x14ac:dyDescent="0.25">
      <c r="A442" s="162"/>
      <c r="B442" s="162"/>
      <c r="C442" s="162"/>
      <c r="D442" s="162"/>
      <c r="E442" s="166"/>
      <c r="F442" s="167"/>
      <c r="G442" s="167"/>
    </row>
    <row r="443" spans="1:7" x14ac:dyDescent="0.25">
      <c r="A443" s="162"/>
      <c r="B443" s="162"/>
      <c r="C443" s="162"/>
      <c r="D443" s="162"/>
      <c r="E443" s="166"/>
      <c r="F443" s="167"/>
      <c r="G443" s="167"/>
    </row>
    <row r="444" spans="1:7" x14ac:dyDescent="0.25">
      <c r="A444" s="162"/>
      <c r="B444" s="162"/>
      <c r="C444" s="162"/>
      <c r="D444" s="162"/>
      <c r="E444" s="166"/>
      <c r="F444" s="167"/>
      <c r="G444" s="167"/>
    </row>
    <row r="445" spans="1:7" x14ac:dyDescent="0.25">
      <c r="A445" s="162"/>
      <c r="B445" s="162"/>
      <c r="C445" s="162"/>
      <c r="D445" s="162"/>
      <c r="E445" s="166"/>
      <c r="F445" s="167"/>
      <c r="G445" s="167"/>
    </row>
    <row r="446" spans="1:7" x14ac:dyDescent="0.25">
      <c r="A446" s="162"/>
      <c r="B446" s="162"/>
      <c r="C446" s="162"/>
      <c r="D446" s="162"/>
      <c r="E446" s="166"/>
      <c r="F446" s="167"/>
      <c r="G446" s="167"/>
    </row>
    <row r="447" spans="1:7" x14ac:dyDescent="0.25">
      <c r="A447" s="162"/>
      <c r="B447" s="162"/>
      <c r="C447" s="162"/>
      <c r="D447" s="162"/>
      <c r="E447" s="166"/>
      <c r="F447" s="167"/>
      <c r="G447" s="167"/>
    </row>
    <row r="448" spans="1:7" x14ac:dyDescent="0.25">
      <c r="A448" s="162"/>
      <c r="B448" s="162"/>
      <c r="C448" s="162"/>
      <c r="D448" s="162"/>
      <c r="E448" s="166"/>
      <c r="F448" s="167"/>
      <c r="G448" s="167"/>
    </row>
    <row r="449" spans="1:7" x14ac:dyDescent="0.25">
      <c r="A449" s="162"/>
      <c r="B449" s="162"/>
      <c r="C449" s="162"/>
      <c r="D449" s="162"/>
      <c r="E449" s="166"/>
      <c r="F449" s="167"/>
      <c r="G449" s="167"/>
    </row>
    <row r="450" spans="1:7" x14ac:dyDescent="0.25">
      <c r="A450" s="162"/>
      <c r="B450" s="162"/>
      <c r="C450" s="162"/>
      <c r="D450" s="162"/>
      <c r="E450" s="166"/>
      <c r="F450" s="167"/>
      <c r="G450" s="167"/>
    </row>
    <row r="451" spans="1:7" x14ac:dyDescent="0.25">
      <c r="A451" s="162"/>
      <c r="B451" s="162"/>
      <c r="C451" s="162"/>
      <c r="D451" s="162"/>
      <c r="E451" s="166"/>
      <c r="F451" s="167"/>
      <c r="G451" s="167"/>
    </row>
    <row r="452" spans="1:7" x14ac:dyDescent="0.25">
      <c r="A452" s="162"/>
      <c r="B452" s="162"/>
      <c r="C452" s="162"/>
      <c r="D452" s="162"/>
      <c r="E452" s="166"/>
      <c r="F452" s="167"/>
      <c r="G452" s="167"/>
    </row>
    <row r="453" spans="1:7" x14ac:dyDescent="0.25">
      <c r="A453" s="162"/>
      <c r="B453" s="162"/>
      <c r="C453" s="162"/>
      <c r="D453" s="162"/>
      <c r="E453" s="166"/>
      <c r="F453" s="167"/>
      <c r="G453" s="167"/>
    </row>
    <row r="454" spans="1:7" x14ac:dyDescent="0.25">
      <c r="A454" s="162"/>
      <c r="B454" s="162"/>
      <c r="C454" s="162"/>
      <c r="D454" s="162"/>
      <c r="E454" s="166"/>
      <c r="F454" s="167"/>
      <c r="G454" s="167"/>
    </row>
    <row r="455" spans="1:7" x14ac:dyDescent="0.25">
      <c r="A455" s="162"/>
      <c r="B455" s="162"/>
      <c r="C455" s="162"/>
      <c r="D455" s="162"/>
      <c r="E455" s="166"/>
      <c r="F455" s="167"/>
      <c r="G455" s="167"/>
    </row>
    <row r="456" spans="1:7" x14ac:dyDescent="0.25">
      <c r="A456" s="162"/>
      <c r="B456" s="162"/>
      <c r="C456" s="162"/>
      <c r="D456" s="162"/>
      <c r="E456" s="166"/>
      <c r="F456" s="167"/>
      <c r="G456" s="167"/>
    </row>
    <row r="457" spans="1:7" x14ac:dyDescent="0.25">
      <c r="A457" s="162"/>
      <c r="B457" s="162"/>
      <c r="C457" s="162"/>
      <c r="D457" s="162"/>
      <c r="E457" s="166"/>
      <c r="F457" s="167"/>
      <c r="G457" s="167"/>
    </row>
    <row r="458" spans="1:7" x14ac:dyDescent="0.25">
      <c r="A458" s="162"/>
      <c r="B458" s="162"/>
      <c r="C458" s="162"/>
      <c r="D458" s="162"/>
      <c r="E458" s="166"/>
      <c r="F458" s="167"/>
      <c r="G458" s="167"/>
    </row>
    <row r="459" spans="1:7" x14ac:dyDescent="0.25">
      <c r="A459" s="162"/>
      <c r="B459" s="162"/>
      <c r="C459" s="162"/>
      <c r="D459" s="162"/>
      <c r="E459" s="166"/>
      <c r="F459" s="167"/>
      <c r="G459" s="167"/>
    </row>
    <row r="460" spans="1:7" x14ac:dyDescent="0.25">
      <c r="A460" s="162"/>
      <c r="B460" s="162"/>
      <c r="C460" s="162"/>
      <c r="D460" s="162"/>
      <c r="E460" s="166"/>
      <c r="F460" s="167"/>
      <c r="G460" s="167"/>
    </row>
    <row r="461" spans="1:7" x14ac:dyDescent="0.25">
      <c r="A461" s="162"/>
      <c r="B461" s="162"/>
      <c r="C461" s="162"/>
      <c r="D461" s="162"/>
      <c r="E461" s="166"/>
      <c r="F461" s="167"/>
      <c r="G461" s="167"/>
    </row>
    <row r="462" spans="1:7" x14ac:dyDescent="0.25">
      <c r="A462" s="162"/>
      <c r="B462" s="162"/>
      <c r="C462" s="162"/>
      <c r="D462" s="162"/>
      <c r="E462" s="166"/>
      <c r="F462" s="167"/>
      <c r="G462" s="167"/>
    </row>
    <row r="463" spans="1:7" x14ac:dyDescent="0.25">
      <c r="A463" s="162"/>
      <c r="B463" s="162"/>
      <c r="C463" s="162"/>
      <c r="D463" s="162"/>
      <c r="E463" s="166"/>
      <c r="F463" s="167"/>
      <c r="G463" s="167"/>
    </row>
    <row r="464" spans="1:7" x14ac:dyDescent="0.25">
      <c r="A464" s="162"/>
      <c r="B464" s="162"/>
      <c r="C464" s="162"/>
      <c r="D464" s="162"/>
      <c r="E464" s="166"/>
      <c r="F464" s="167"/>
      <c r="G464" s="167"/>
    </row>
    <row r="465" spans="1:7" x14ac:dyDescent="0.25">
      <c r="A465" s="162"/>
      <c r="B465" s="162"/>
      <c r="C465" s="162"/>
      <c r="D465" s="162"/>
      <c r="E465" s="166"/>
      <c r="F465" s="167"/>
      <c r="G465" s="167"/>
    </row>
    <row r="466" spans="1:7" x14ac:dyDescent="0.25">
      <c r="A466" s="162"/>
      <c r="B466" s="162"/>
      <c r="C466" s="162"/>
      <c r="D466" s="162"/>
      <c r="E466" s="166"/>
      <c r="F466" s="167"/>
      <c r="G466" s="167"/>
    </row>
    <row r="467" spans="1:7" x14ac:dyDescent="0.25">
      <c r="A467" s="162"/>
      <c r="B467" s="162"/>
      <c r="C467" s="162"/>
      <c r="D467" s="162"/>
      <c r="E467" s="166"/>
      <c r="F467" s="167"/>
      <c r="G467" s="167"/>
    </row>
    <row r="468" spans="1:7" x14ac:dyDescent="0.25">
      <c r="A468" s="162"/>
      <c r="B468" s="162"/>
      <c r="C468" s="162"/>
      <c r="D468" s="162"/>
      <c r="E468" s="166"/>
      <c r="F468" s="167"/>
      <c r="G468" s="167"/>
    </row>
    <row r="469" spans="1:7" x14ac:dyDescent="0.25">
      <c r="A469" s="162"/>
      <c r="B469" s="162"/>
      <c r="C469" s="162"/>
      <c r="D469" s="162"/>
      <c r="E469" s="166"/>
      <c r="F469" s="167"/>
      <c r="G469" s="167"/>
    </row>
    <row r="470" spans="1:7" x14ac:dyDescent="0.25">
      <c r="A470" s="162"/>
      <c r="B470" s="162"/>
      <c r="C470" s="162"/>
      <c r="D470" s="162"/>
      <c r="E470" s="166"/>
      <c r="F470" s="167"/>
      <c r="G470" s="167"/>
    </row>
    <row r="471" spans="1:7" x14ac:dyDescent="0.25">
      <c r="A471" s="162"/>
      <c r="B471" s="162"/>
      <c r="C471" s="162"/>
      <c r="D471" s="162"/>
      <c r="E471" s="166"/>
      <c r="F471" s="167"/>
      <c r="G471" s="167"/>
    </row>
    <row r="472" spans="1:7" x14ac:dyDescent="0.25">
      <c r="A472" s="162"/>
      <c r="B472" s="162"/>
      <c r="C472" s="162"/>
      <c r="D472" s="162"/>
      <c r="E472" s="166"/>
      <c r="F472" s="167"/>
      <c r="G472" s="167"/>
    </row>
    <row r="473" spans="1:7" x14ac:dyDescent="0.25">
      <c r="A473" s="162"/>
      <c r="B473" s="162"/>
      <c r="C473" s="162"/>
      <c r="D473" s="162"/>
      <c r="E473" s="166"/>
      <c r="F473" s="167"/>
      <c r="G473" s="167"/>
    </row>
    <row r="474" spans="1:7" x14ac:dyDescent="0.25">
      <c r="A474" s="162"/>
      <c r="B474" s="162"/>
      <c r="C474" s="162"/>
      <c r="D474" s="162"/>
      <c r="E474" s="166"/>
      <c r="F474" s="167"/>
      <c r="G474" s="167"/>
    </row>
    <row r="475" spans="1:7" x14ac:dyDescent="0.25">
      <c r="A475" s="162"/>
      <c r="B475" s="162"/>
      <c r="C475" s="162"/>
      <c r="D475" s="162"/>
      <c r="E475" s="166"/>
      <c r="F475" s="167"/>
      <c r="G475" s="167"/>
    </row>
    <row r="476" spans="1:7" x14ac:dyDescent="0.25">
      <c r="A476" s="162"/>
      <c r="B476" s="162"/>
      <c r="C476" s="162"/>
      <c r="D476" s="162"/>
      <c r="E476" s="166"/>
      <c r="F476" s="167"/>
      <c r="G476" s="167"/>
    </row>
    <row r="477" spans="1:7" x14ac:dyDescent="0.25">
      <c r="A477" s="162"/>
      <c r="B477" s="162"/>
      <c r="C477" s="162"/>
      <c r="D477" s="162"/>
      <c r="E477" s="166"/>
      <c r="F477" s="167"/>
      <c r="G477" s="167"/>
    </row>
    <row r="478" spans="1:7" x14ac:dyDescent="0.25">
      <c r="A478" s="162"/>
      <c r="B478" s="162"/>
      <c r="C478" s="162"/>
      <c r="D478" s="162"/>
      <c r="E478" s="166"/>
      <c r="F478" s="167"/>
      <c r="G478" s="167"/>
    </row>
    <row r="479" spans="1:7" x14ac:dyDescent="0.25">
      <c r="A479" s="162"/>
      <c r="B479" s="162"/>
      <c r="C479" s="162"/>
      <c r="D479" s="162"/>
      <c r="E479" s="166"/>
      <c r="F479" s="167"/>
      <c r="G479" s="167"/>
    </row>
    <row r="480" spans="1:7" x14ac:dyDescent="0.25">
      <c r="A480" s="162"/>
      <c r="B480" s="162"/>
      <c r="C480" s="162"/>
      <c r="D480" s="162"/>
      <c r="E480" s="166"/>
      <c r="F480" s="167"/>
      <c r="G480" s="167"/>
    </row>
    <row r="481" spans="1:7" x14ac:dyDescent="0.25">
      <c r="A481" s="162"/>
      <c r="B481" s="162"/>
      <c r="C481" s="162"/>
      <c r="D481" s="162"/>
      <c r="E481" s="166"/>
      <c r="F481" s="167"/>
      <c r="G481" s="167"/>
    </row>
    <row r="482" spans="1:7" x14ac:dyDescent="0.25">
      <c r="A482" s="162"/>
      <c r="B482" s="162"/>
      <c r="C482" s="162"/>
      <c r="D482" s="162"/>
      <c r="E482" s="166"/>
      <c r="F482" s="167"/>
      <c r="G482" s="167"/>
    </row>
    <row r="483" spans="1:7" x14ac:dyDescent="0.25">
      <c r="A483" s="162"/>
      <c r="B483" s="162"/>
      <c r="C483" s="162"/>
      <c r="D483" s="162"/>
      <c r="E483" s="166"/>
      <c r="F483" s="167"/>
      <c r="G483" s="167"/>
    </row>
    <row r="484" spans="1:7" x14ac:dyDescent="0.25">
      <c r="A484" s="162"/>
      <c r="B484" s="162"/>
      <c r="C484" s="162"/>
      <c r="D484" s="162"/>
      <c r="E484" s="166"/>
      <c r="F484" s="167"/>
      <c r="G484" s="167"/>
    </row>
    <row r="485" spans="1:7" x14ac:dyDescent="0.25">
      <c r="A485" s="162"/>
      <c r="B485" s="162"/>
      <c r="C485" s="162"/>
      <c r="D485" s="162"/>
      <c r="E485" s="166"/>
      <c r="F485" s="167"/>
      <c r="G485" s="167"/>
    </row>
    <row r="486" spans="1:7" x14ac:dyDescent="0.25">
      <c r="A486" s="162"/>
      <c r="B486" s="162"/>
      <c r="C486" s="162"/>
      <c r="D486" s="162"/>
      <c r="E486" s="166"/>
      <c r="F486" s="167"/>
      <c r="G486" s="167"/>
    </row>
    <row r="487" spans="1:7" x14ac:dyDescent="0.25">
      <c r="A487" s="162"/>
      <c r="B487" s="162"/>
      <c r="C487" s="162"/>
      <c r="D487" s="162"/>
      <c r="E487" s="166"/>
      <c r="F487" s="167"/>
      <c r="G487" s="167"/>
    </row>
    <row r="488" spans="1:7" x14ac:dyDescent="0.25">
      <c r="A488" s="162"/>
      <c r="B488" s="162"/>
      <c r="C488" s="162"/>
      <c r="D488" s="162"/>
      <c r="E488" s="166"/>
      <c r="F488" s="167"/>
      <c r="G488" s="167"/>
    </row>
    <row r="489" spans="1:7" x14ac:dyDescent="0.25">
      <c r="A489" s="162"/>
      <c r="B489" s="162"/>
      <c r="C489" s="162"/>
      <c r="D489" s="162"/>
      <c r="E489" s="166"/>
      <c r="F489" s="167"/>
      <c r="G489" s="167"/>
    </row>
    <row r="490" spans="1:7" x14ac:dyDescent="0.25">
      <c r="A490" s="162"/>
      <c r="B490" s="162"/>
      <c r="C490" s="162"/>
      <c r="D490" s="162"/>
      <c r="E490" s="166"/>
      <c r="F490" s="167"/>
      <c r="G490" s="167"/>
    </row>
    <row r="491" spans="1:7" x14ac:dyDescent="0.25">
      <c r="A491" s="162"/>
      <c r="B491" s="162"/>
      <c r="C491" s="162"/>
      <c r="D491" s="162"/>
      <c r="E491" s="166"/>
      <c r="F491" s="167"/>
      <c r="G491" s="167"/>
    </row>
    <row r="492" spans="1:7" x14ac:dyDescent="0.25">
      <c r="A492" s="162"/>
      <c r="B492" s="162"/>
      <c r="C492" s="162"/>
      <c r="D492" s="162"/>
      <c r="E492" s="166"/>
      <c r="F492" s="167"/>
      <c r="G492" s="167"/>
    </row>
    <row r="493" spans="1:7" x14ac:dyDescent="0.25">
      <c r="A493" s="162"/>
      <c r="B493" s="162"/>
      <c r="C493" s="162"/>
      <c r="D493" s="162"/>
      <c r="E493" s="166"/>
      <c r="F493" s="167"/>
      <c r="G493" s="167"/>
    </row>
    <row r="494" spans="1:7" x14ac:dyDescent="0.25">
      <c r="A494" s="162"/>
      <c r="B494" s="162"/>
      <c r="C494" s="162"/>
      <c r="D494" s="162"/>
      <c r="E494" s="166"/>
      <c r="F494" s="167"/>
      <c r="G494" s="167"/>
    </row>
    <row r="495" spans="1:7" x14ac:dyDescent="0.25">
      <c r="A495" s="162"/>
      <c r="B495" s="162"/>
      <c r="C495" s="162"/>
      <c r="D495" s="162"/>
      <c r="E495" s="166"/>
      <c r="F495" s="167"/>
      <c r="G495" s="167"/>
    </row>
    <row r="496" spans="1:7" x14ac:dyDescent="0.25">
      <c r="A496" s="162"/>
      <c r="B496" s="162"/>
      <c r="C496" s="162"/>
      <c r="D496" s="162"/>
      <c r="E496" s="166"/>
      <c r="F496" s="167"/>
      <c r="G496" s="167"/>
    </row>
    <row r="497" spans="1:7" x14ac:dyDescent="0.25">
      <c r="A497" s="162"/>
      <c r="B497" s="162"/>
      <c r="C497" s="162"/>
      <c r="D497" s="162"/>
      <c r="E497" s="166"/>
      <c r="F497" s="167"/>
      <c r="G497" s="167"/>
    </row>
    <row r="498" spans="1:7" x14ac:dyDescent="0.25">
      <c r="A498" s="162"/>
      <c r="B498" s="162"/>
      <c r="C498" s="162"/>
      <c r="D498" s="162"/>
      <c r="E498" s="166"/>
      <c r="F498" s="167"/>
      <c r="G498" s="167"/>
    </row>
    <row r="499" spans="1:7" x14ac:dyDescent="0.25">
      <c r="A499" s="162"/>
      <c r="B499" s="162"/>
      <c r="C499" s="162"/>
      <c r="D499" s="162"/>
      <c r="E499" s="166"/>
      <c r="F499" s="167"/>
      <c r="G499" s="167"/>
    </row>
    <row r="500" spans="1:7" x14ac:dyDescent="0.25">
      <c r="A500" s="162"/>
      <c r="B500" s="162"/>
      <c r="C500" s="162"/>
      <c r="D500" s="162"/>
      <c r="E500" s="166"/>
      <c r="F500" s="167"/>
      <c r="G500" s="167"/>
    </row>
    <row r="501" spans="1:7" x14ac:dyDescent="0.25">
      <c r="A501" s="162"/>
      <c r="B501" s="162"/>
      <c r="C501" s="162"/>
      <c r="D501" s="162"/>
      <c r="E501" s="166"/>
      <c r="F501" s="167"/>
      <c r="G501" s="167"/>
    </row>
    <row r="502" spans="1:7" x14ac:dyDescent="0.25">
      <c r="A502" s="162"/>
      <c r="B502" s="162"/>
      <c r="C502" s="162"/>
      <c r="D502" s="162"/>
      <c r="E502" s="166"/>
      <c r="F502" s="167"/>
      <c r="G502" s="167"/>
    </row>
    <row r="503" spans="1:7" x14ac:dyDescent="0.25">
      <c r="A503" s="162"/>
      <c r="B503" s="162"/>
      <c r="C503" s="162"/>
      <c r="D503" s="162"/>
      <c r="E503" s="166"/>
      <c r="F503" s="167"/>
      <c r="G503" s="167"/>
    </row>
    <row r="504" spans="1:7" x14ac:dyDescent="0.25">
      <c r="A504" s="162"/>
      <c r="B504" s="162"/>
      <c r="C504" s="162"/>
      <c r="D504" s="162"/>
      <c r="E504" s="166"/>
      <c r="F504" s="167"/>
      <c r="G504" s="167"/>
    </row>
    <row r="505" spans="1:7" x14ac:dyDescent="0.25">
      <c r="A505" s="162"/>
      <c r="B505" s="162"/>
      <c r="C505" s="162"/>
      <c r="D505" s="162"/>
      <c r="E505" s="166"/>
      <c r="F505" s="167"/>
      <c r="G505" s="167"/>
    </row>
    <row r="506" spans="1:7" x14ac:dyDescent="0.25">
      <c r="A506" s="162"/>
      <c r="B506" s="162"/>
      <c r="C506" s="162"/>
      <c r="D506" s="162"/>
      <c r="E506" s="166"/>
      <c r="F506" s="167"/>
      <c r="G506" s="167"/>
    </row>
    <row r="507" spans="1:7" x14ac:dyDescent="0.25">
      <c r="A507" s="162"/>
      <c r="B507" s="162"/>
      <c r="C507" s="162"/>
      <c r="D507" s="162"/>
      <c r="E507" s="166"/>
      <c r="F507" s="167"/>
      <c r="G507" s="167"/>
    </row>
    <row r="508" spans="1:7" x14ac:dyDescent="0.25">
      <c r="A508" s="162"/>
      <c r="B508" s="162"/>
      <c r="C508" s="162"/>
      <c r="D508" s="162"/>
      <c r="E508" s="166"/>
      <c r="F508" s="167"/>
      <c r="G508" s="167"/>
    </row>
    <row r="509" spans="1:7" x14ac:dyDescent="0.25">
      <c r="A509" s="162"/>
      <c r="B509" s="162"/>
      <c r="C509" s="162"/>
      <c r="D509" s="162"/>
      <c r="E509" s="166"/>
      <c r="F509" s="167"/>
      <c r="G509" s="167"/>
    </row>
    <row r="510" spans="1:7" x14ac:dyDescent="0.25">
      <c r="A510" s="162"/>
      <c r="B510" s="162"/>
      <c r="C510" s="162"/>
      <c r="D510" s="162"/>
      <c r="E510" s="166"/>
      <c r="F510" s="167"/>
      <c r="G510" s="167"/>
    </row>
    <row r="511" spans="1:7" x14ac:dyDescent="0.25">
      <c r="A511" s="162"/>
      <c r="B511" s="162"/>
      <c r="C511" s="162"/>
      <c r="D511" s="162"/>
      <c r="E511" s="166"/>
      <c r="F511" s="167"/>
      <c r="G511" s="167"/>
    </row>
    <row r="512" spans="1:7" x14ac:dyDescent="0.25">
      <c r="A512" s="162"/>
      <c r="B512" s="162"/>
      <c r="C512" s="162"/>
      <c r="D512" s="162"/>
      <c r="E512" s="166"/>
      <c r="F512" s="167"/>
      <c r="G512" s="167"/>
    </row>
    <row r="513" spans="1:7" x14ac:dyDescent="0.25">
      <c r="A513" s="162"/>
      <c r="B513" s="162"/>
      <c r="C513" s="162"/>
      <c r="D513" s="162"/>
      <c r="E513" s="166"/>
      <c r="F513" s="167"/>
      <c r="G513" s="167"/>
    </row>
    <row r="514" spans="1:7" x14ac:dyDescent="0.25">
      <c r="A514" s="162"/>
      <c r="B514" s="162"/>
      <c r="C514" s="162"/>
      <c r="D514" s="162"/>
      <c r="E514" s="166"/>
      <c r="F514" s="167"/>
      <c r="G514" s="167"/>
    </row>
    <row r="515" spans="1:7" x14ac:dyDescent="0.25">
      <c r="A515" s="162"/>
      <c r="B515" s="162"/>
      <c r="C515" s="162"/>
      <c r="D515" s="162"/>
      <c r="E515" s="166"/>
      <c r="F515" s="167"/>
      <c r="G515" s="167"/>
    </row>
    <row r="516" spans="1:7" x14ac:dyDescent="0.25">
      <c r="A516" s="162"/>
      <c r="B516" s="162"/>
      <c r="C516" s="162"/>
      <c r="D516" s="162"/>
      <c r="E516" s="166"/>
      <c r="F516" s="167"/>
      <c r="G516" s="167"/>
    </row>
    <row r="517" spans="1:7" x14ac:dyDescent="0.25">
      <c r="A517" s="162"/>
      <c r="B517" s="162"/>
      <c r="C517" s="162"/>
      <c r="D517" s="162"/>
      <c r="E517" s="166"/>
      <c r="F517" s="167"/>
      <c r="G517" s="167"/>
    </row>
    <row r="518" spans="1:7" x14ac:dyDescent="0.25">
      <c r="A518" s="162"/>
      <c r="B518" s="162"/>
      <c r="C518" s="162"/>
      <c r="D518" s="162"/>
      <c r="E518" s="166"/>
      <c r="F518" s="167"/>
      <c r="G518" s="167"/>
    </row>
    <row r="519" spans="1:7" x14ac:dyDescent="0.25">
      <c r="A519" s="162"/>
      <c r="B519" s="162"/>
      <c r="C519" s="162"/>
      <c r="D519" s="162"/>
      <c r="E519" s="166"/>
      <c r="F519" s="167"/>
      <c r="G519" s="167"/>
    </row>
    <row r="520" spans="1:7" x14ac:dyDescent="0.25">
      <c r="A520" s="162"/>
      <c r="B520" s="162"/>
      <c r="C520" s="162"/>
      <c r="D520" s="162"/>
      <c r="E520" s="166"/>
      <c r="F520" s="167"/>
      <c r="G520" s="167"/>
    </row>
    <row r="521" spans="1:7" x14ac:dyDescent="0.25">
      <c r="A521" s="162"/>
      <c r="B521" s="162"/>
      <c r="C521" s="162"/>
      <c r="D521" s="162"/>
      <c r="E521" s="166"/>
      <c r="F521" s="167"/>
      <c r="G521" s="167"/>
    </row>
    <row r="522" spans="1:7" x14ac:dyDescent="0.25">
      <c r="A522" s="162"/>
      <c r="B522" s="162"/>
      <c r="C522" s="162"/>
      <c r="D522" s="162"/>
      <c r="E522" s="166"/>
      <c r="F522" s="167"/>
      <c r="G522" s="167"/>
    </row>
    <row r="523" spans="1:7" x14ac:dyDescent="0.25">
      <c r="A523" s="162"/>
      <c r="B523" s="162"/>
      <c r="C523" s="162"/>
      <c r="D523" s="162"/>
      <c r="E523" s="166"/>
      <c r="F523" s="167"/>
      <c r="G523" s="167"/>
    </row>
    <row r="524" spans="1:7" x14ac:dyDescent="0.25">
      <c r="A524" s="162"/>
      <c r="B524" s="162"/>
      <c r="C524" s="162"/>
      <c r="D524" s="162"/>
      <c r="E524" s="166"/>
      <c r="F524" s="167"/>
      <c r="G524" s="167"/>
    </row>
    <row r="525" spans="1:7" x14ac:dyDescent="0.25">
      <c r="A525" s="162"/>
      <c r="B525" s="162"/>
      <c r="C525" s="162"/>
      <c r="D525" s="162"/>
      <c r="E525" s="166"/>
      <c r="F525" s="167"/>
      <c r="G525" s="167"/>
    </row>
    <row r="526" spans="1:7" x14ac:dyDescent="0.25">
      <c r="A526" s="162"/>
      <c r="B526" s="162"/>
      <c r="C526" s="162"/>
      <c r="D526" s="162"/>
      <c r="E526" s="166"/>
      <c r="F526" s="167"/>
      <c r="G526" s="167"/>
    </row>
    <row r="527" spans="1:7" x14ac:dyDescent="0.25">
      <c r="A527" s="162"/>
      <c r="B527" s="162"/>
      <c r="C527" s="162"/>
      <c r="D527" s="162"/>
      <c r="E527" s="166"/>
      <c r="F527" s="167"/>
      <c r="G527" s="167"/>
    </row>
    <row r="528" spans="1:7" x14ac:dyDescent="0.25">
      <c r="A528" s="162"/>
      <c r="B528" s="162"/>
      <c r="C528" s="162"/>
      <c r="D528" s="162"/>
      <c r="E528" s="166"/>
      <c r="F528" s="167"/>
      <c r="G528" s="167"/>
    </row>
    <row r="529" spans="1:7" x14ac:dyDescent="0.25">
      <c r="A529" s="162"/>
      <c r="B529" s="162"/>
      <c r="C529" s="162"/>
      <c r="D529" s="162"/>
      <c r="E529" s="166"/>
      <c r="F529" s="167"/>
      <c r="G529" s="167"/>
    </row>
    <row r="530" spans="1:7" x14ac:dyDescent="0.25">
      <c r="A530" s="162"/>
      <c r="B530" s="162"/>
      <c r="C530" s="162"/>
      <c r="D530" s="162"/>
      <c r="E530" s="166"/>
      <c r="F530" s="167"/>
      <c r="G530" s="167"/>
    </row>
    <row r="531" spans="1:7" x14ac:dyDescent="0.25">
      <c r="A531" s="162"/>
      <c r="B531" s="162"/>
      <c r="C531" s="162"/>
      <c r="D531" s="162"/>
      <c r="E531" s="166"/>
      <c r="F531" s="167"/>
      <c r="G531" s="167"/>
    </row>
    <row r="532" spans="1:7" x14ac:dyDescent="0.25">
      <c r="A532" s="162"/>
      <c r="B532" s="162"/>
      <c r="C532" s="162"/>
      <c r="D532" s="162"/>
      <c r="E532" s="166"/>
      <c r="F532" s="167"/>
      <c r="G532" s="167"/>
    </row>
    <row r="533" spans="1:7" x14ac:dyDescent="0.25">
      <c r="A533" s="162"/>
      <c r="B533" s="162"/>
      <c r="C533" s="162"/>
      <c r="D533" s="162"/>
      <c r="E533" s="166"/>
      <c r="F533" s="167"/>
      <c r="G533" s="167"/>
    </row>
    <row r="534" spans="1:7" x14ac:dyDescent="0.25">
      <c r="A534" s="162"/>
      <c r="B534" s="162"/>
      <c r="C534" s="162"/>
      <c r="D534" s="162"/>
      <c r="E534" s="166"/>
      <c r="F534" s="167"/>
      <c r="G534" s="167"/>
    </row>
    <row r="535" spans="1:7" x14ac:dyDescent="0.25">
      <c r="A535" s="162"/>
      <c r="B535" s="162"/>
      <c r="C535" s="162"/>
      <c r="D535" s="162"/>
      <c r="E535" s="166"/>
      <c r="F535" s="167"/>
      <c r="G535" s="167"/>
    </row>
    <row r="536" spans="1:7" x14ac:dyDescent="0.25">
      <c r="A536" s="162"/>
      <c r="B536" s="162"/>
      <c r="C536" s="162"/>
      <c r="D536" s="162"/>
      <c r="E536" s="166"/>
      <c r="F536" s="167"/>
      <c r="G536" s="167"/>
    </row>
    <row r="537" spans="1:7" x14ac:dyDescent="0.25">
      <c r="A537" s="162"/>
      <c r="B537" s="162"/>
      <c r="C537" s="162"/>
      <c r="D537" s="162"/>
      <c r="E537" s="166"/>
      <c r="F537" s="167"/>
      <c r="G537" s="167"/>
    </row>
    <row r="538" spans="1:7" x14ac:dyDescent="0.25">
      <c r="A538" s="162"/>
      <c r="B538" s="162"/>
      <c r="C538" s="162"/>
      <c r="D538" s="162"/>
      <c r="E538" s="166"/>
      <c r="F538" s="167"/>
      <c r="G538" s="167"/>
    </row>
    <row r="539" spans="1:7" x14ac:dyDescent="0.25">
      <c r="A539" s="162"/>
      <c r="B539" s="162"/>
      <c r="C539" s="162"/>
      <c r="D539" s="162"/>
      <c r="E539" s="166"/>
      <c r="F539" s="167"/>
      <c r="G539" s="167"/>
    </row>
    <row r="540" spans="1:7" x14ac:dyDescent="0.25">
      <c r="A540" s="162"/>
      <c r="B540" s="162"/>
      <c r="C540" s="162"/>
      <c r="D540" s="162"/>
      <c r="E540" s="166"/>
      <c r="F540" s="167"/>
      <c r="G540" s="167"/>
    </row>
    <row r="541" spans="1:7" x14ac:dyDescent="0.25">
      <c r="A541" s="162"/>
      <c r="B541" s="162"/>
      <c r="C541" s="162"/>
      <c r="D541" s="162"/>
      <c r="E541" s="166"/>
      <c r="F541" s="167"/>
      <c r="G541" s="167"/>
    </row>
    <row r="542" spans="1:7" x14ac:dyDescent="0.25">
      <c r="A542" s="162"/>
      <c r="B542" s="162"/>
      <c r="C542" s="162"/>
      <c r="D542" s="162"/>
      <c r="E542" s="166"/>
      <c r="F542" s="167"/>
      <c r="G542" s="167"/>
    </row>
    <row r="543" spans="1:7" x14ac:dyDescent="0.25">
      <c r="A543" s="162"/>
      <c r="B543" s="162"/>
      <c r="C543" s="162"/>
      <c r="D543" s="162"/>
      <c r="E543" s="166"/>
      <c r="F543" s="167"/>
      <c r="G543" s="167"/>
    </row>
    <row r="544" spans="1:7" x14ac:dyDescent="0.25">
      <c r="A544" s="162"/>
      <c r="B544" s="162"/>
      <c r="C544" s="162"/>
      <c r="D544" s="162"/>
      <c r="E544" s="166"/>
      <c r="F544" s="167"/>
      <c r="G544" s="167"/>
    </row>
    <row r="545" spans="1:7" x14ac:dyDescent="0.25">
      <c r="A545" s="162"/>
      <c r="B545" s="162"/>
      <c r="C545" s="162"/>
      <c r="D545" s="162"/>
      <c r="E545" s="166"/>
      <c r="F545" s="167"/>
      <c r="G545" s="167"/>
    </row>
    <row r="546" spans="1:7" x14ac:dyDescent="0.25">
      <c r="A546" s="162"/>
      <c r="B546" s="162"/>
      <c r="C546" s="162"/>
      <c r="D546" s="162"/>
      <c r="E546" s="166"/>
      <c r="F546" s="167"/>
      <c r="G546" s="167"/>
    </row>
    <row r="547" spans="1:7" x14ac:dyDescent="0.25">
      <c r="A547" s="162"/>
      <c r="B547" s="162"/>
      <c r="C547" s="162"/>
      <c r="D547" s="162"/>
      <c r="E547" s="166"/>
      <c r="F547" s="167"/>
      <c r="G547" s="167"/>
    </row>
    <row r="548" spans="1:7" x14ac:dyDescent="0.25">
      <c r="A548" s="162"/>
      <c r="B548" s="162"/>
      <c r="C548" s="162"/>
      <c r="D548" s="162"/>
      <c r="E548" s="166"/>
      <c r="F548" s="167"/>
      <c r="G548" s="167"/>
    </row>
    <row r="549" spans="1:7" x14ac:dyDescent="0.25">
      <c r="A549" s="162"/>
      <c r="B549" s="162"/>
      <c r="C549" s="162"/>
      <c r="D549" s="162"/>
      <c r="E549" s="166"/>
      <c r="F549" s="167"/>
      <c r="G549" s="167"/>
    </row>
    <row r="550" spans="1:7" x14ac:dyDescent="0.25">
      <c r="A550" s="162"/>
      <c r="B550" s="162"/>
      <c r="C550" s="162"/>
      <c r="D550" s="162"/>
      <c r="E550" s="166"/>
      <c r="F550" s="167"/>
      <c r="G550" s="167"/>
    </row>
    <row r="551" spans="1:7" x14ac:dyDescent="0.25">
      <c r="A551" s="162"/>
      <c r="B551" s="162"/>
      <c r="C551" s="162"/>
      <c r="D551" s="162"/>
      <c r="E551" s="166"/>
      <c r="F551" s="167"/>
      <c r="G551" s="167"/>
    </row>
    <row r="552" spans="1:7" x14ac:dyDescent="0.25">
      <c r="A552" s="162"/>
      <c r="B552" s="162"/>
      <c r="C552" s="162"/>
      <c r="D552" s="162"/>
      <c r="E552" s="166"/>
      <c r="F552" s="167"/>
      <c r="G552" s="167"/>
    </row>
    <row r="553" spans="1:7" x14ac:dyDescent="0.25">
      <c r="A553" s="162"/>
      <c r="B553" s="162"/>
      <c r="C553" s="162"/>
      <c r="D553" s="162"/>
      <c r="E553" s="166"/>
      <c r="F553" s="167"/>
      <c r="G553" s="167"/>
    </row>
    <row r="554" spans="1:7" x14ac:dyDescent="0.25">
      <c r="A554" s="162"/>
      <c r="B554" s="162"/>
      <c r="C554" s="162"/>
      <c r="D554" s="162"/>
      <c r="E554" s="166"/>
      <c r="F554" s="167"/>
      <c r="G554" s="167"/>
    </row>
    <row r="555" spans="1:7" x14ac:dyDescent="0.25">
      <c r="A555" s="162"/>
      <c r="B555" s="162"/>
      <c r="C555" s="162"/>
      <c r="D555" s="162"/>
      <c r="E555" s="166"/>
      <c r="F555" s="167"/>
      <c r="G555" s="167"/>
    </row>
    <row r="556" spans="1:7" x14ac:dyDescent="0.25">
      <c r="A556" s="162"/>
      <c r="B556" s="162"/>
      <c r="C556" s="162"/>
      <c r="D556" s="162"/>
      <c r="E556" s="166"/>
      <c r="F556" s="167"/>
      <c r="G556" s="167"/>
    </row>
    <row r="557" spans="1:7" x14ac:dyDescent="0.25">
      <c r="A557" s="162"/>
      <c r="B557" s="162"/>
      <c r="C557" s="162"/>
      <c r="D557" s="162"/>
      <c r="E557" s="166"/>
      <c r="F557" s="167"/>
      <c r="G557" s="167"/>
    </row>
    <row r="558" spans="1:7" x14ac:dyDescent="0.25">
      <c r="A558" s="162"/>
      <c r="B558" s="162"/>
      <c r="C558" s="162"/>
      <c r="D558" s="162"/>
      <c r="E558" s="166"/>
      <c r="F558" s="167"/>
      <c r="G558" s="167"/>
    </row>
    <row r="559" spans="1:7" x14ac:dyDescent="0.25">
      <c r="A559" s="162"/>
      <c r="B559" s="162"/>
      <c r="C559" s="162"/>
      <c r="D559" s="162"/>
      <c r="E559" s="166"/>
      <c r="F559" s="167"/>
      <c r="G559" s="167"/>
    </row>
    <row r="560" spans="1:7" x14ac:dyDescent="0.25">
      <c r="A560" s="162"/>
      <c r="B560" s="162"/>
      <c r="C560" s="162"/>
      <c r="D560" s="162"/>
      <c r="E560" s="166"/>
      <c r="F560" s="167"/>
      <c r="G560" s="167"/>
    </row>
    <row r="561" spans="1:7" x14ac:dyDescent="0.25">
      <c r="A561" s="162"/>
      <c r="B561" s="162"/>
      <c r="C561" s="162"/>
      <c r="D561" s="162"/>
      <c r="E561" s="166"/>
      <c r="F561" s="167"/>
      <c r="G561" s="167"/>
    </row>
    <row r="562" spans="1:7" x14ac:dyDescent="0.25">
      <c r="A562" s="162"/>
      <c r="B562" s="162"/>
      <c r="C562" s="162"/>
      <c r="D562" s="162"/>
      <c r="E562" s="166"/>
      <c r="F562" s="167"/>
      <c r="G562" s="167"/>
    </row>
    <row r="563" spans="1:7" x14ac:dyDescent="0.25">
      <c r="A563" s="162"/>
      <c r="B563" s="162"/>
      <c r="C563" s="162"/>
      <c r="D563" s="162"/>
      <c r="E563" s="166"/>
      <c r="F563" s="167"/>
      <c r="G563" s="167"/>
    </row>
    <row r="564" spans="1:7" x14ac:dyDescent="0.25">
      <c r="A564" s="162"/>
      <c r="B564" s="162"/>
      <c r="C564" s="162"/>
      <c r="D564" s="162"/>
      <c r="E564" s="166"/>
      <c r="F564" s="167"/>
      <c r="G564" s="167"/>
    </row>
    <row r="565" spans="1:7" x14ac:dyDescent="0.25">
      <c r="A565" s="162"/>
      <c r="B565" s="162"/>
      <c r="C565" s="162"/>
      <c r="D565" s="162"/>
      <c r="E565" s="166"/>
      <c r="F565" s="167"/>
      <c r="G565" s="167"/>
    </row>
    <row r="566" spans="1:7" x14ac:dyDescent="0.25">
      <c r="A566" s="162"/>
      <c r="B566" s="162"/>
      <c r="C566" s="162"/>
      <c r="D566" s="162"/>
      <c r="E566" s="166"/>
      <c r="F566" s="167"/>
      <c r="G566" s="167"/>
    </row>
    <row r="567" spans="1:7" x14ac:dyDescent="0.25">
      <c r="A567" s="162"/>
      <c r="B567" s="162"/>
      <c r="C567" s="162"/>
      <c r="D567" s="162"/>
      <c r="E567" s="166"/>
      <c r="F567" s="167"/>
      <c r="G567" s="167"/>
    </row>
    <row r="568" spans="1:7" x14ac:dyDescent="0.25">
      <c r="A568" s="162"/>
      <c r="B568" s="162"/>
      <c r="C568" s="162"/>
      <c r="D568" s="162"/>
      <c r="E568" s="166"/>
      <c r="F568" s="167"/>
      <c r="G568" s="167"/>
    </row>
    <row r="569" spans="1:7" x14ac:dyDescent="0.25">
      <c r="A569" s="162"/>
      <c r="B569" s="162"/>
      <c r="C569" s="162"/>
      <c r="D569" s="162"/>
      <c r="E569" s="166"/>
      <c r="F569" s="167"/>
      <c r="G569" s="167"/>
    </row>
    <row r="570" spans="1:7" x14ac:dyDescent="0.25">
      <c r="A570" s="162"/>
      <c r="B570" s="162"/>
      <c r="C570" s="162"/>
      <c r="D570" s="162"/>
      <c r="E570" s="166"/>
      <c r="F570" s="167"/>
      <c r="G570" s="167"/>
    </row>
    <row r="571" spans="1:7" x14ac:dyDescent="0.25">
      <c r="A571" s="162"/>
      <c r="B571" s="162"/>
      <c r="C571" s="162"/>
      <c r="D571" s="162"/>
      <c r="E571" s="166"/>
      <c r="F571" s="167"/>
      <c r="G571" s="167"/>
    </row>
    <row r="572" spans="1:7" x14ac:dyDescent="0.25">
      <c r="A572" s="162"/>
      <c r="B572" s="162"/>
      <c r="C572" s="162"/>
      <c r="D572" s="162"/>
      <c r="E572" s="166"/>
      <c r="F572" s="167"/>
      <c r="G572" s="167"/>
    </row>
    <row r="573" spans="1:7" x14ac:dyDescent="0.25">
      <c r="A573" s="162"/>
      <c r="B573" s="162"/>
      <c r="C573" s="162"/>
      <c r="D573" s="162"/>
      <c r="E573" s="166"/>
      <c r="F573" s="167"/>
      <c r="G573" s="167"/>
    </row>
    <row r="574" spans="1:7" x14ac:dyDescent="0.25">
      <c r="A574" s="162"/>
      <c r="B574" s="162"/>
      <c r="C574" s="162"/>
      <c r="D574" s="162"/>
      <c r="E574" s="166"/>
      <c r="F574" s="167"/>
      <c r="G574" s="167"/>
    </row>
    <row r="575" spans="1:7" x14ac:dyDescent="0.25">
      <c r="A575" s="162"/>
      <c r="B575" s="162"/>
      <c r="C575" s="162"/>
      <c r="D575" s="162"/>
      <c r="E575" s="166"/>
      <c r="F575" s="167"/>
      <c r="G575" s="167"/>
    </row>
    <row r="576" spans="1:7" x14ac:dyDescent="0.25">
      <c r="A576" s="162"/>
      <c r="B576" s="162"/>
      <c r="C576" s="162"/>
      <c r="D576" s="162"/>
      <c r="E576" s="166"/>
      <c r="F576" s="167"/>
      <c r="G576" s="167"/>
    </row>
    <row r="577" spans="1:7" x14ac:dyDescent="0.25">
      <c r="A577" s="162"/>
      <c r="B577" s="162"/>
      <c r="C577" s="162"/>
      <c r="D577" s="162"/>
      <c r="E577" s="166"/>
      <c r="F577" s="167"/>
      <c r="G577" s="167"/>
    </row>
    <row r="578" spans="1:7" x14ac:dyDescent="0.25">
      <c r="A578" s="162"/>
      <c r="B578" s="162"/>
      <c r="C578" s="162"/>
      <c r="D578" s="162"/>
      <c r="E578" s="166"/>
      <c r="F578" s="167"/>
      <c r="G578" s="167"/>
    </row>
    <row r="579" spans="1:7" x14ac:dyDescent="0.25">
      <c r="A579" s="162"/>
      <c r="B579" s="162"/>
      <c r="C579" s="162"/>
      <c r="D579" s="162"/>
      <c r="E579" s="166"/>
      <c r="F579" s="167"/>
      <c r="G579" s="167"/>
    </row>
    <row r="580" spans="1:7" x14ac:dyDescent="0.25">
      <c r="A580" s="162"/>
      <c r="B580" s="162"/>
      <c r="C580" s="162"/>
      <c r="D580" s="162"/>
      <c r="E580" s="166"/>
      <c r="F580" s="167"/>
      <c r="G580" s="167"/>
    </row>
    <row r="581" spans="1:7" x14ac:dyDescent="0.25">
      <c r="A581" s="162"/>
      <c r="B581" s="162"/>
      <c r="C581" s="162"/>
      <c r="D581" s="162"/>
      <c r="E581" s="166"/>
      <c r="F581" s="167"/>
      <c r="G581" s="167"/>
    </row>
    <row r="582" spans="1:7" x14ac:dyDescent="0.25">
      <c r="A582" s="162"/>
      <c r="B582" s="162"/>
      <c r="C582" s="162"/>
      <c r="D582" s="162"/>
      <c r="E582" s="166"/>
      <c r="F582" s="167"/>
      <c r="G582" s="167"/>
    </row>
    <row r="583" spans="1:7" x14ac:dyDescent="0.25">
      <c r="A583" s="162"/>
      <c r="B583" s="162"/>
      <c r="C583" s="162"/>
      <c r="D583" s="162"/>
      <c r="E583" s="166"/>
      <c r="F583" s="167"/>
      <c r="G583" s="167"/>
    </row>
    <row r="584" spans="1:7" x14ac:dyDescent="0.25">
      <c r="A584" s="162"/>
      <c r="B584" s="162"/>
      <c r="C584" s="162"/>
      <c r="D584" s="162"/>
      <c r="E584" s="166"/>
      <c r="F584" s="167"/>
      <c r="G584" s="167"/>
    </row>
    <row r="585" spans="1:7" x14ac:dyDescent="0.25">
      <c r="A585" s="162"/>
      <c r="B585" s="162"/>
      <c r="C585" s="162"/>
      <c r="D585" s="162"/>
      <c r="E585" s="166"/>
      <c r="F585" s="167"/>
      <c r="G585" s="167"/>
    </row>
    <row r="586" spans="1:7" x14ac:dyDescent="0.25">
      <c r="A586" s="162"/>
      <c r="B586" s="162"/>
      <c r="C586" s="162"/>
      <c r="D586" s="162"/>
      <c r="E586" s="166"/>
      <c r="F586" s="167"/>
      <c r="G586" s="167"/>
    </row>
    <row r="587" spans="1:7" x14ac:dyDescent="0.25">
      <c r="A587" s="162"/>
      <c r="B587" s="162"/>
      <c r="C587" s="162"/>
      <c r="D587" s="162"/>
      <c r="E587" s="166"/>
      <c r="F587" s="167"/>
      <c r="G587" s="167"/>
    </row>
    <row r="588" spans="1:7" x14ac:dyDescent="0.25">
      <c r="A588" s="162"/>
      <c r="B588" s="162"/>
      <c r="C588" s="162"/>
      <c r="D588" s="162"/>
      <c r="E588" s="166"/>
      <c r="F588" s="167"/>
      <c r="G588" s="167"/>
    </row>
    <row r="589" spans="1:7" x14ac:dyDescent="0.25">
      <c r="A589" s="162"/>
      <c r="B589" s="162"/>
      <c r="C589" s="162"/>
      <c r="D589" s="162"/>
      <c r="E589" s="166"/>
      <c r="F589" s="167"/>
      <c r="G589" s="167"/>
    </row>
    <row r="590" spans="1:7" x14ac:dyDescent="0.25">
      <c r="A590" s="162"/>
      <c r="B590" s="162"/>
      <c r="C590" s="162"/>
      <c r="D590" s="162"/>
      <c r="E590" s="166"/>
      <c r="F590" s="167"/>
      <c r="G590" s="167"/>
    </row>
    <row r="591" spans="1:7" x14ac:dyDescent="0.25">
      <c r="A591" s="162"/>
      <c r="B591" s="162"/>
      <c r="C591" s="162"/>
      <c r="D591" s="162"/>
      <c r="E591" s="166"/>
      <c r="F591" s="167"/>
      <c r="G591" s="167"/>
    </row>
    <row r="592" spans="1:7" x14ac:dyDescent="0.25">
      <c r="A592" s="162"/>
      <c r="B592" s="162"/>
      <c r="C592" s="162"/>
      <c r="D592" s="162"/>
      <c r="E592" s="166"/>
      <c r="F592" s="167"/>
      <c r="G592" s="167"/>
    </row>
    <row r="593" spans="1:7" x14ac:dyDescent="0.25">
      <c r="A593" s="162"/>
      <c r="B593" s="162"/>
      <c r="C593" s="162"/>
      <c r="D593" s="162"/>
      <c r="E593" s="166"/>
      <c r="F593" s="167"/>
      <c r="G593" s="167"/>
    </row>
    <row r="594" spans="1:7" x14ac:dyDescent="0.25">
      <c r="A594" s="162"/>
      <c r="B594" s="162"/>
      <c r="C594" s="162"/>
      <c r="D594" s="162"/>
      <c r="E594" s="166"/>
      <c r="F594" s="167"/>
      <c r="G594" s="167"/>
    </row>
    <row r="595" spans="1:7" x14ac:dyDescent="0.25">
      <c r="A595" s="162"/>
      <c r="B595" s="162"/>
      <c r="C595" s="162"/>
      <c r="D595" s="162"/>
      <c r="E595" s="166"/>
      <c r="F595" s="167"/>
      <c r="G595" s="167"/>
    </row>
    <row r="596" spans="1:7" x14ac:dyDescent="0.25">
      <c r="A596" s="162"/>
      <c r="B596" s="162"/>
      <c r="C596" s="162"/>
      <c r="D596" s="162"/>
      <c r="E596" s="166"/>
      <c r="F596" s="167"/>
      <c r="G596" s="167"/>
    </row>
    <row r="597" spans="1:7" x14ac:dyDescent="0.25">
      <c r="A597" s="162"/>
      <c r="B597" s="162"/>
      <c r="C597" s="162"/>
      <c r="D597" s="162"/>
      <c r="E597" s="166"/>
      <c r="F597" s="167"/>
      <c r="G597" s="167"/>
    </row>
    <row r="598" spans="1:7" x14ac:dyDescent="0.25">
      <c r="A598" s="162"/>
      <c r="B598" s="162"/>
      <c r="C598" s="162"/>
      <c r="D598" s="162"/>
      <c r="E598" s="166"/>
      <c r="F598" s="167"/>
      <c r="G598" s="167"/>
    </row>
    <row r="599" spans="1:7" x14ac:dyDescent="0.25">
      <c r="A599" s="162"/>
      <c r="B599" s="162"/>
      <c r="C599" s="162"/>
      <c r="D599" s="162"/>
      <c r="E599" s="166"/>
      <c r="F599" s="167"/>
      <c r="G599" s="167"/>
    </row>
    <row r="600" spans="1:7" x14ac:dyDescent="0.25">
      <c r="A600" s="162"/>
      <c r="B600" s="162"/>
      <c r="C600" s="162"/>
      <c r="D600" s="162"/>
      <c r="E600" s="166"/>
      <c r="F600" s="167"/>
      <c r="G600" s="167"/>
    </row>
    <row r="601" spans="1:7" x14ac:dyDescent="0.25">
      <c r="A601" s="162"/>
      <c r="B601" s="162"/>
      <c r="C601" s="162"/>
      <c r="D601" s="162"/>
      <c r="E601" s="166"/>
      <c r="F601" s="167"/>
      <c r="G601" s="167"/>
    </row>
    <row r="602" spans="1:7" x14ac:dyDescent="0.25">
      <c r="A602" s="162"/>
      <c r="B602" s="162"/>
      <c r="C602" s="162"/>
      <c r="D602" s="162"/>
      <c r="E602" s="166"/>
      <c r="F602" s="167"/>
      <c r="G602" s="167"/>
    </row>
    <row r="603" spans="1:7" x14ac:dyDescent="0.25">
      <c r="A603" s="162"/>
      <c r="B603" s="162"/>
      <c r="C603" s="162"/>
      <c r="D603" s="162"/>
      <c r="E603" s="166"/>
      <c r="F603" s="167"/>
      <c r="G603" s="167"/>
    </row>
    <row r="604" spans="1:7" x14ac:dyDescent="0.25">
      <c r="A604" s="162"/>
      <c r="B604" s="162"/>
      <c r="C604" s="162"/>
      <c r="D604" s="162"/>
      <c r="E604" s="166"/>
      <c r="F604" s="167"/>
      <c r="G604" s="167"/>
    </row>
    <row r="605" spans="1:7" x14ac:dyDescent="0.25">
      <c r="A605" s="162"/>
      <c r="B605" s="162"/>
      <c r="C605" s="162"/>
      <c r="D605" s="162"/>
      <c r="E605" s="166"/>
      <c r="F605" s="167"/>
      <c r="G605" s="167"/>
    </row>
    <row r="606" spans="1:7" x14ac:dyDescent="0.25">
      <c r="A606" s="162"/>
      <c r="B606" s="162"/>
      <c r="C606" s="162"/>
      <c r="D606" s="162"/>
      <c r="E606" s="166"/>
      <c r="F606" s="167"/>
      <c r="G606" s="167"/>
    </row>
    <row r="607" spans="1:7" x14ac:dyDescent="0.25">
      <c r="A607" s="162"/>
      <c r="B607" s="162"/>
      <c r="C607" s="162"/>
      <c r="D607" s="162"/>
      <c r="E607" s="166"/>
      <c r="F607" s="167"/>
      <c r="G607" s="167"/>
    </row>
    <row r="608" spans="1:7" x14ac:dyDescent="0.25">
      <c r="A608" s="162"/>
      <c r="B608" s="162"/>
      <c r="C608" s="162"/>
      <c r="D608" s="162"/>
      <c r="E608" s="166"/>
      <c r="F608" s="167"/>
      <c r="G608" s="167"/>
    </row>
    <row r="609" spans="1:7" x14ac:dyDescent="0.25">
      <c r="A609" s="162"/>
      <c r="B609" s="162"/>
      <c r="C609" s="162"/>
      <c r="D609" s="162"/>
      <c r="E609" s="166"/>
      <c r="F609" s="167"/>
      <c r="G609" s="167"/>
    </row>
    <row r="610" spans="1:7" x14ac:dyDescent="0.25">
      <c r="A610" s="162"/>
      <c r="B610" s="162"/>
      <c r="C610" s="162"/>
      <c r="D610" s="162"/>
      <c r="E610" s="166"/>
      <c r="F610" s="167"/>
      <c r="G610" s="167"/>
    </row>
    <row r="611" spans="1:7" x14ac:dyDescent="0.25">
      <c r="A611" s="162"/>
      <c r="B611" s="162"/>
      <c r="C611" s="162"/>
      <c r="D611" s="162"/>
      <c r="E611" s="166"/>
      <c r="F611" s="167"/>
      <c r="G611" s="167"/>
    </row>
    <row r="612" spans="1:7" x14ac:dyDescent="0.25">
      <c r="A612" s="162"/>
      <c r="B612" s="162"/>
      <c r="C612" s="162"/>
      <c r="D612" s="162"/>
      <c r="E612" s="166"/>
      <c r="F612" s="167"/>
      <c r="G612" s="167"/>
    </row>
    <row r="613" spans="1:7" x14ac:dyDescent="0.25">
      <c r="A613" s="162"/>
      <c r="B613" s="162"/>
      <c r="C613" s="162"/>
      <c r="D613" s="162"/>
      <c r="E613" s="166"/>
      <c r="F613" s="167"/>
      <c r="G613" s="167"/>
    </row>
    <row r="614" spans="1:7" x14ac:dyDescent="0.25">
      <c r="A614" s="162"/>
      <c r="B614" s="162"/>
      <c r="C614" s="162"/>
      <c r="D614" s="162"/>
      <c r="E614" s="166"/>
      <c r="F614" s="167"/>
      <c r="G614" s="167"/>
    </row>
    <row r="615" spans="1:7" x14ac:dyDescent="0.25">
      <c r="A615" s="162"/>
      <c r="B615" s="162"/>
      <c r="C615" s="162"/>
      <c r="D615" s="162"/>
      <c r="E615" s="166"/>
      <c r="F615" s="167"/>
      <c r="G615" s="167"/>
    </row>
    <row r="616" spans="1:7" x14ac:dyDescent="0.25">
      <c r="A616" s="162"/>
      <c r="B616" s="162"/>
      <c r="C616" s="162"/>
      <c r="D616" s="162"/>
      <c r="E616" s="166"/>
      <c r="F616" s="167"/>
      <c r="G616" s="167"/>
    </row>
    <row r="617" spans="1:7" x14ac:dyDescent="0.25">
      <c r="A617" s="162"/>
      <c r="B617" s="162"/>
      <c r="C617" s="162"/>
      <c r="D617" s="162"/>
      <c r="E617" s="166"/>
      <c r="F617" s="167"/>
      <c r="G617" s="167"/>
    </row>
    <row r="618" spans="1:7" x14ac:dyDescent="0.25">
      <c r="A618" s="162"/>
      <c r="B618" s="162"/>
      <c r="C618" s="162"/>
      <c r="D618" s="162"/>
      <c r="E618" s="166"/>
      <c r="F618" s="167"/>
      <c r="G618" s="167"/>
    </row>
    <row r="619" spans="1:7" x14ac:dyDescent="0.25">
      <c r="A619" s="162"/>
      <c r="B619" s="162"/>
      <c r="C619" s="162"/>
      <c r="D619" s="162"/>
      <c r="E619" s="166"/>
      <c r="F619" s="167"/>
      <c r="G619" s="167"/>
    </row>
    <row r="620" spans="1:7" x14ac:dyDescent="0.25">
      <c r="A620" s="162"/>
      <c r="B620" s="162"/>
      <c r="C620" s="162"/>
      <c r="D620" s="162"/>
      <c r="E620" s="166"/>
      <c r="F620" s="167"/>
      <c r="G620" s="167"/>
    </row>
    <row r="621" spans="1:7" x14ac:dyDescent="0.25">
      <c r="A621" s="162"/>
      <c r="B621" s="162"/>
      <c r="C621" s="162"/>
      <c r="D621" s="162"/>
      <c r="E621" s="166"/>
      <c r="F621" s="167"/>
      <c r="G621" s="167"/>
    </row>
    <row r="622" spans="1:7" x14ac:dyDescent="0.25">
      <c r="A622" s="162"/>
      <c r="B622" s="162"/>
      <c r="C622" s="162"/>
      <c r="D622" s="162"/>
      <c r="E622" s="166"/>
      <c r="F622" s="167"/>
      <c r="G622" s="167"/>
    </row>
    <row r="623" spans="1:7" x14ac:dyDescent="0.25">
      <c r="A623" s="162"/>
      <c r="B623" s="162"/>
      <c r="C623" s="162"/>
      <c r="D623" s="162"/>
      <c r="E623" s="166"/>
      <c r="F623" s="167"/>
      <c r="G623" s="167"/>
    </row>
    <row r="624" spans="1:7" x14ac:dyDescent="0.25">
      <c r="A624" s="162"/>
      <c r="B624" s="162"/>
      <c r="C624" s="162"/>
      <c r="D624" s="162"/>
      <c r="E624" s="166"/>
      <c r="F624" s="167"/>
      <c r="G624" s="167"/>
    </row>
    <row r="625" spans="1:7" x14ac:dyDescent="0.25">
      <c r="A625" s="162"/>
      <c r="B625" s="162"/>
      <c r="C625" s="162"/>
      <c r="D625" s="162"/>
      <c r="E625" s="166"/>
      <c r="F625" s="167"/>
      <c r="G625" s="167"/>
    </row>
    <row r="626" spans="1:7" x14ac:dyDescent="0.25">
      <c r="A626" s="162"/>
      <c r="B626" s="162"/>
      <c r="C626" s="162"/>
      <c r="D626" s="162"/>
      <c r="E626" s="166"/>
      <c r="F626" s="167"/>
      <c r="G626" s="167"/>
    </row>
    <row r="627" spans="1:7" x14ac:dyDescent="0.25">
      <c r="A627" s="162"/>
      <c r="B627" s="162"/>
      <c r="C627" s="162"/>
      <c r="D627" s="162"/>
      <c r="E627" s="166"/>
      <c r="F627" s="167"/>
      <c r="G627" s="167"/>
    </row>
    <row r="628" spans="1:7" x14ac:dyDescent="0.25">
      <c r="A628" s="162"/>
      <c r="B628" s="162"/>
      <c r="C628" s="162"/>
      <c r="D628" s="162"/>
      <c r="E628" s="166"/>
      <c r="F628" s="167"/>
      <c r="G628" s="167"/>
    </row>
    <row r="629" spans="1:7" x14ac:dyDescent="0.25">
      <c r="A629" s="162"/>
      <c r="B629" s="162"/>
      <c r="C629" s="162"/>
      <c r="D629" s="162"/>
      <c r="E629" s="166"/>
      <c r="F629" s="167"/>
      <c r="G629" s="167"/>
    </row>
    <row r="630" spans="1:7" x14ac:dyDescent="0.25">
      <c r="A630" s="162"/>
      <c r="B630" s="162"/>
      <c r="C630" s="162"/>
      <c r="D630" s="162"/>
      <c r="E630" s="166"/>
      <c r="F630" s="167"/>
      <c r="G630" s="167"/>
    </row>
    <row r="631" spans="1:7" x14ac:dyDescent="0.25">
      <c r="A631" s="162"/>
      <c r="B631" s="162"/>
      <c r="C631" s="162"/>
      <c r="D631" s="162"/>
      <c r="E631" s="166"/>
      <c r="F631" s="167"/>
      <c r="G631" s="167"/>
    </row>
    <row r="632" spans="1:7" x14ac:dyDescent="0.25">
      <c r="A632" s="162"/>
      <c r="B632" s="162"/>
      <c r="C632" s="162"/>
      <c r="D632" s="162"/>
      <c r="E632" s="166"/>
      <c r="F632" s="167"/>
      <c r="G632" s="167"/>
    </row>
    <row r="633" spans="1:7" x14ac:dyDescent="0.25">
      <c r="A633" s="162"/>
      <c r="B633" s="162"/>
      <c r="C633" s="162"/>
      <c r="D633" s="162"/>
      <c r="E633" s="166"/>
      <c r="F633" s="167"/>
      <c r="G633" s="167"/>
    </row>
    <row r="634" spans="1:7" x14ac:dyDescent="0.25">
      <c r="A634" s="162"/>
      <c r="B634" s="162"/>
      <c r="C634" s="162"/>
      <c r="D634" s="162"/>
      <c r="E634" s="166"/>
      <c r="F634" s="167"/>
      <c r="G634" s="167"/>
    </row>
    <row r="635" spans="1:7" x14ac:dyDescent="0.25">
      <c r="A635" s="162"/>
      <c r="B635" s="162"/>
      <c r="C635" s="162"/>
      <c r="D635" s="162"/>
      <c r="E635" s="166"/>
      <c r="F635" s="167"/>
      <c r="G635" s="167"/>
    </row>
    <row r="636" spans="1:7" x14ac:dyDescent="0.25">
      <c r="A636" s="162"/>
      <c r="B636" s="162"/>
      <c r="C636" s="162"/>
      <c r="D636" s="162"/>
      <c r="E636" s="166"/>
      <c r="F636" s="167"/>
      <c r="G636" s="167"/>
    </row>
    <row r="637" spans="1:7" x14ac:dyDescent="0.25">
      <c r="A637" s="162"/>
      <c r="B637" s="162"/>
      <c r="C637" s="162"/>
      <c r="D637" s="162"/>
      <c r="E637" s="166"/>
      <c r="F637" s="167"/>
      <c r="G637" s="167"/>
    </row>
    <row r="638" spans="1:7" x14ac:dyDescent="0.25">
      <c r="A638" s="162"/>
      <c r="B638" s="162"/>
      <c r="C638" s="162"/>
      <c r="D638" s="162"/>
      <c r="E638" s="166"/>
      <c r="F638" s="167"/>
      <c r="G638" s="167"/>
    </row>
    <row r="639" spans="1:7" x14ac:dyDescent="0.25">
      <c r="A639" s="162"/>
      <c r="B639" s="162"/>
      <c r="C639" s="162"/>
      <c r="D639" s="162"/>
      <c r="E639" s="166"/>
      <c r="F639" s="167"/>
      <c r="G639" s="167"/>
    </row>
    <row r="640" spans="1:7" x14ac:dyDescent="0.25">
      <c r="A640" s="162"/>
      <c r="B640" s="162"/>
      <c r="C640" s="162"/>
      <c r="D640" s="162"/>
      <c r="E640" s="166"/>
      <c r="F640" s="167"/>
      <c r="G640" s="167"/>
    </row>
    <row r="641" spans="1:7" x14ac:dyDescent="0.25">
      <c r="A641" s="162"/>
      <c r="B641" s="162"/>
      <c r="C641" s="162"/>
      <c r="D641" s="162"/>
      <c r="E641" s="166"/>
      <c r="F641" s="167"/>
      <c r="G641" s="167"/>
    </row>
    <row r="642" spans="1:7" x14ac:dyDescent="0.25">
      <c r="A642" s="162"/>
      <c r="B642" s="162"/>
      <c r="C642" s="162"/>
      <c r="D642" s="162"/>
      <c r="E642" s="166"/>
      <c r="F642" s="167"/>
      <c r="G642" s="167"/>
    </row>
    <row r="643" spans="1:7" x14ac:dyDescent="0.25">
      <c r="A643" s="162"/>
      <c r="B643" s="162"/>
      <c r="C643" s="162"/>
      <c r="D643" s="162"/>
      <c r="E643" s="166"/>
      <c r="F643" s="167"/>
      <c r="G643" s="167"/>
    </row>
    <row r="644" spans="1:7" x14ac:dyDescent="0.25">
      <c r="A644" s="162"/>
      <c r="B644" s="162"/>
      <c r="C644" s="162"/>
      <c r="D644" s="162"/>
      <c r="E644" s="166"/>
      <c r="F644" s="167"/>
      <c r="G644" s="167"/>
    </row>
    <row r="645" spans="1:7" x14ac:dyDescent="0.25">
      <c r="A645" s="162"/>
      <c r="B645" s="162"/>
      <c r="C645" s="162"/>
      <c r="D645" s="162"/>
      <c r="E645" s="166"/>
      <c r="F645" s="167"/>
      <c r="G645" s="167"/>
    </row>
    <row r="646" spans="1:7" x14ac:dyDescent="0.25">
      <c r="A646" s="162"/>
      <c r="B646" s="162"/>
      <c r="C646" s="162"/>
      <c r="D646" s="162"/>
      <c r="E646" s="166"/>
      <c r="F646" s="167"/>
      <c r="G646" s="167"/>
    </row>
    <row r="647" spans="1:7" x14ac:dyDescent="0.25">
      <c r="A647" s="162"/>
      <c r="B647" s="162"/>
      <c r="C647" s="162"/>
      <c r="D647" s="162"/>
      <c r="E647" s="166"/>
      <c r="F647" s="167"/>
      <c r="G647" s="167"/>
    </row>
    <row r="648" spans="1:7" x14ac:dyDescent="0.25">
      <c r="A648" s="162"/>
      <c r="B648" s="162"/>
      <c r="C648" s="162"/>
      <c r="D648" s="162"/>
      <c r="E648" s="166"/>
      <c r="F648" s="167"/>
      <c r="G648" s="167"/>
    </row>
    <row r="649" spans="1:7" x14ac:dyDescent="0.25">
      <c r="A649" s="162"/>
      <c r="B649" s="162"/>
      <c r="C649" s="162"/>
      <c r="D649" s="162"/>
      <c r="E649" s="166"/>
      <c r="F649" s="167"/>
      <c r="G649" s="167"/>
    </row>
    <row r="650" spans="1:7" x14ac:dyDescent="0.25">
      <c r="A650" s="162"/>
      <c r="B650" s="162"/>
      <c r="C650" s="162"/>
      <c r="D650" s="162"/>
      <c r="E650" s="166"/>
      <c r="F650" s="167"/>
      <c r="G650" s="167"/>
    </row>
    <row r="651" spans="1:7" x14ac:dyDescent="0.25">
      <c r="A651" s="162"/>
      <c r="B651" s="162"/>
      <c r="C651" s="162"/>
      <c r="D651" s="162"/>
      <c r="E651" s="166"/>
      <c r="F651" s="167"/>
      <c r="G651" s="167"/>
    </row>
    <row r="652" spans="1:7" x14ac:dyDescent="0.25">
      <c r="A652" s="162"/>
      <c r="B652" s="162"/>
      <c r="C652" s="162"/>
      <c r="D652" s="162"/>
      <c r="E652" s="166"/>
      <c r="F652" s="167"/>
      <c r="G652" s="167"/>
    </row>
    <row r="653" spans="1:7" x14ac:dyDescent="0.25">
      <c r="A653" s="162"/>
      <c r="B653" s="162"/>
      <c r="C653" s="162"/>
      <c r="D653" s="162"/>
      <c r="E653" s="166"/>
      <c r="F653" s="167"/>
      <c r="G653" s="167"/>
    </row>
    <row r="654" spans="1:7" x14ac:dyDescent="0.25">
      <c r="A654" s="162"/>
      <c r="B654" s="162"/>
      <c r="C654" s="162"/>
      <c r="D654" s="162"/>
      <c r="E654" s="166"/>
      <c r="F654" s="167"/>
      <c r="G654" s="167"/>
    </row>
    <row r="655" spans="1:7" x14ac:dyDescent="0.25">
      <c r="A655" s="162"/>
      <c r="B655" s="162"/>
      <c r="C655" s="162"/>
      <c r="D655" s="162"/>
      <c r="E655" s="166"/>
      <c r="F655" s="167"/>
      <c r="G655" s="167"/>
    </row>
    <row r="656" spans="1:7" x14ac:dyDescent="0.25">
      <c r="A656" s="162"/>
      <c r="B656" s="162"/>
      <c r="C656" s="162"/>
      <c r="D656" s="162"/>
      <c r="E656" s="166"/>
      <c r="F656" s="167"/>
      <c r="G656" s="167"/>
    </row>
    <row r="657" spans="1:7" x14ac:dyDescent="0.25">
      <c r="A657" s="162"/>
      <c r="B657" s="162"/>
      <c r="C657" s="162"/>
      <c r="D657" s="162"/>
      <c r="E657" s="166"/>
      <c r="F657" s="167"/>
      <c r="G657" s="167"/>
    </row>
    <row r="658" spans="1:7" x14ac:dyDescent="0.25">
      <c r="A658" s="162"/>
      <c r="B658" s="162"/>
      <c r="C658" s="162"/>
      <c r="D658" s="162"/>
      <c r="E658" s="166"/>
      <c r="F658" s="167"/>
      <c r="G658" s="167"/>
    </row>
    <row r="659" spans="1:7" x14ac:dyDescent="0.25">
      <c r="A659" s="162"/>
      <c r="B659" s="162"/>
      <c r="C659" s="162"/>
      <c r="D659" s="162"/>
      <c r="E659" s="166"/>
      <c r="F659" s="167"/>
      <c r="G659" s="167"/>
    </row>
    <row r="660" spans="1:7" x14ac:dyDescent="0.25">
      <c r="A660" s="162"/>
      <c r="B660" s="162"/>
      <c r="C660" s="162"/>
      <c r="D660" s="162"/>
      <c r="E660" s="166"/>
      <c r="F660" s="167"/>
      <c r="G660" s="167"/>
    </row>
    <row r="769" spans="4:4" x14ac:dyDescent="0.25">
      <c r="D769" s="191">
        <f>SUBTOTAL(9,D30:D35)</f>
        <v>2935</v>
      </c>
    </row>
  </sheetData>
  <autoFilter ref="G1:G768"/>
  <mergeCells count="11">
    <mergeCell ref="A3:A8"/>
    <mergeCell ref="G3:G8"/>
    <mergeCell ref="A9:A12"/>
    <mergeCell ref="F9:F12"/>
    <mergeCell ref="G9:G12"/>
    <mergeCell ref="A31:A34"/>
    <mergeCell ref="A13:A14"/>
    <mergeCell ref="F13:F14"/>
    <mergeCell ref="G13:G14"/>
    <mergeCell ref="A24:A25"/>
    <mergeCell ref="A26:A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58"/>
  <sheetViews>
    <sheetView topLeftCell="B1" workbookViewId="0">
      <selection activeCell="D472" sqref="D472"/>
    </sheetView>
  </sheetViews>
  <sheetFormatPr defaultRowHeight="15" x14ac:dyDescent="0.25"/>
  <cols>
    <col min="1" max="1" width="11.5703125" style="191" hidden="1" customWidth="1"/>
    <col min="2" max="2" width="13.140625" style="191" customWidth="1"/>
    <col min="3" max="3" width="23.28515625" style="214" customWidth="1"/>
    <col min="4" max="4" width="9.85546875" style="191" customWidth="1"/>
    <col min="5" max="5" width="10.85546875" style="191" customWidth="1"/>
    <col min="6" max="6" width="12.28515625" style="328" customWidth="1"/>
    <col min="7" max="7" width="48.85546875" style="214" customWidth="1"/>
    <col min="8" max="8" width="26" style="164" customWidth="1"/>
    <col min="9" max="9" width="10.85546875" style="329" customWidth="1"/>
    <col min="10" max="16384" width="9.140625" style="164"/>
  </cols>
  <sheetData>
    <row r="1" spans="1:9" ht="42.75" customHeight="1" thickBot="1" x14ac:dyDescent="0.3">
      <c r="A1" s="163" t="s">
        <v>274</v>
      </c>
      <c r="B1" s="163" t="s">
        <v>117</v>
      </c>
      <c r="C1" s="166" t="s">
        <v>200</v>
      </c>
      <c r="D1" s="163" t="s">
        <v>119</v>
      </c>
      <c r="E1" s="163" t="s">
        <v>120</v>
      </c>
      <c r="F1" s="224" t="s">
        <v>121</v>
      </c>
      <c r="G1" s="163" t="s">
        <v>225</v>
      </c>
      <c r="H1" s="114" t="s">
        <v>226</v>
      </c>
      <c r="I1" s="114" t="s">
        <v>143</v>
      </c>
    </row>
    <row r="2" spans="1:9" ht="15.75" hidden="1" thickBot="1" x14ac:dyDescent="0.3">
      <c r="A2" s="225">
        <v>50</v>
      </c>
      <c r="B2" s="165"/>
      <c r="C2" s="226"/>
      <c r="D2" s="165"/>
      <c r="E2" s="165"/>
      <c r="F2" s="225"/>
      <c r="G2" s="166" t="s">
        <v>323</v>
      </c>
      <c r="H2" s="167"/>
      <c r="I2" s="163"/>
    </row>
    <row r="3" spans="1:9" ht="15.75" hidden="1" thickBot="1" x14ac:dyDescent="0.3">
      <c r="A3" s="225">
        <v>200</v>
      </c>
      <c r="B3" s="165"/>
      <c r="C3" s="226"/>
      <c r="D3" s="165"/>
      <c r="E3" s="165"/>
      <c r="F3" s="225"/>
      <c r="G3" s="166" t="s">
        <v>324</v>
      </c>
      <c r="H3" s="167"/>
      <c r="I3" s="163"/>
    </row>
    <row r="4" spans="1:9" ht="15.75" hidden="1" thickBot="1" x14ac:dyDescent="0.3">
      <c r="A4" s="225">
        <v>59</v>
      </c>
      <c r="B4" s="165"/>
      <c r="C4" s="226"/>
      <c r="D4" s="165"/>
      <c r="E4" s="165"/>
      <c r="F4" s="225"/>
      <c r="G4" s="166" t="s">
        <v>325</v>
      </c>
      <c r="H4" s="167"/>
      <c r="I4" s="163"/>
    </row>
    <row r="5" spans="1:9" ht="15.75" hidden="1" thickBot="1" x14ac:dyDescent="0.3">
      <c r="A5" s="225">
        <v>30</v>
      </c>
      <c r="B5" s="165"/>
      <c r="C5" s="226"/>
      <c r="D5" s="165"/>
      <c r="E5" s="165"/>
      <c r="F5" s="225"/>
      <c r="G5" s="166" t="s">
        <v>326</v>
      </c>
      <c r="H5" s="167"/>
      <c r="I5" s="163"/>
    </row>
    <row r="6" spans="1:9" ht="15.75" hidden="1" thickBot="1" x14ac:dyDescent="0.3">
      <c r="A6" s="225">
        <v>400</v>
      </c>
      <c r="B6" s="165"/>
      <c r="C6" s="226"/>
      <c r="D6" s="165"/>
      <c r="E6" s="165"/>
      <c r="F6" s="225"/>
      <c r="G6" s="166" t="s">
        <v>327</v>
      </c>
      <c r="H6" s="167"/>
      <c r="I6" s="163"/>
    </row>
    <row r="7" spans="1:9" ht="15.75" hidden="1" thickBot="1" x14ac:dyDescent="0.3">
      <c r="A7" s="225">
        <v>300</v>
      </c>
      <c r="B7" s="165"/>
      <c r="C7" s="226"/>
      <c r="D7" s="165"/>
      <c r="E7" s="165"/>
      <c r="F7" s="225"/>
      <c r="G7" s="166" t="s">
        <v>328</v>
      </c>
      <c r="H7" s="167"/>
      <c r="I7" s="163"/>
    </row>
    <row r="8" spans="1:9" ht="15.75" hidden="1" thickBot="1" x14ac:dyDescent="0.3">
      <c r="A8" s="225">
        <v>160</v>
      </c>
      <c r="B8" s="165"/>
      <c r="C8" s="226"/>
      <c r="D8" s="165"/>
      <c r="E8" s="165"/>
      <c r="F8" s="225"/>
      <c r="G8" s="166" t="s">
        <v>329</v>
      </c>
      <c r="H8" s="167"/>
      <c r="I8" s="163"/>
    </row>
    <row r="9" spans="1:9" ht="15" hidden="1" customHeight="1" x14ac:dyDescent="0.25">
      <c r="A9" s="225">
        <v>200</v>
      </c>
      <c r="B9" s="165"/>
      <c r="C9" s="226"/>
      <c r="D9" s="165"/>
      <c r="E9" s="165"/>
      <c r="F9" s="225"/>
      <c r="G9" s="166" t="s">
        <v>330</v>
      </c>
      <c r="H9" s="167"/>
      <c r="I9" s="163"/>
    </row>
    <row r="10" spans="1:9" ht="15.75" hidden="1" thickBot="1" x14ac:dyDescent="0.3">
      <c r="A10" s="225">
        <v>90</v>
      </c>
      <c r="B10" s="165"/>
      <c r="C10" s="226"/>
      <c r="D10" s="165"/>
      <c r="E10" s="165"/>
      <c r="F10" s="225"/>
      <c r="G10" s="166" t="s">
        <v>331</v>
      </c>
      <c r="H10" s="167"/>
      <c r="I10" s="163"/>
    </row>
    <row r="11" spans="1:9" ht="15.75" hidden="1" thickBot="1" x14ac:dyDescent="0.3">
      <c r="A11" s="225">
        <v>15</v>
      </c>
      <c r="B11" s="165"/>
      <c r="C11" s="226"/>
      <c r="D11" s="165"/>
      <c r="E11" s="165"/>
      <c r="F11" s="225"/>
      <c r="G11" s="166" t="s">
        <v>332</v>
      </c>
      <c r="H11" s="167"/>
      <c r="I11" s="163"/>
    </row>
    <row r="12" spans="1:9" ht="15.75" hidden="1" thickBot="1" x14ac:dyDescent="0.3">
      <c r="A12" s="225">
        <v>140</v>
      </c>
      <c r="B12" s="165"/>
      <c r="C12" s="226"/>
      <c r="D12" s="165"/>
      <c r="E12" s="165"/>
      <c r="F12" s="225"/>
      <c r="G12" s="166" t="s">
        <v>333</v>
      </c>
      <c r="H12" s="167"/>
      <c r="I12" s="163"/>
    </row>
    <row r="13" spans="1:9" ht="15.75" hidden="1" thickBot="1" x14ac:dyDescent="0.3">
      <c r="A13" s="225">
        <v>180</v>
      </c>
      <c r="B13" s="165"/>
      <c r="C13" s="226"/>
      <c r="D13" s="165"/>
      <c r="E13" s="165"/>
      <c r="F13" s="225"/>
      <c r="G13" s="166" t="s">
        <v>334</v>
      </c>
      <c r="H13" s="167"/>
      <c r="I13" s="163"/>
    </row>
    <row r="14" spans="1:9" ht="15.75" hidden="1" thickBot="1" x14ac:dyDescent="0.3">
      <c r="A14" s="225">
        <v>190</v>
      </c>
      <c r="B14" s="165"/>
      <c r="C14" s="226"/>
      <c r="D14" s="165"/>
      <c r="E14" s="165"/>
      <c r="F14" s="225"/>
      <c r="G14" s="166" t="s">
        <v>335</v>
      </c>
      <c r="H14" s="167"/>
      <c r="I14" s="163"/>
    </row>
    <row r="15" spans="1:9" ht="15.75" hidden="1" thickBot="1" x14ac:dyDescent="0.3">
      <c r="A15" s="225">
        <v>235</v>
      </c>
      <c r="B15" s="165"/>
      <c r="C15" s="226"/>
      <c r="D15" s="165"/>
      <c r="E15" s="165"/>
      <c r="F15" s="225"/>
      <c r="G15" s="166" t="s">
        <v>336</v>
      </c>
      <c r="H15" s="167"/>
      <c r="I15" s="163"/>
    </row>
    <row r="16" spans="1:9" ht="15.75" hidden="1" thickBot="1" x14ac:dyDescent="0.3">
      <c r="A16" s="225">
        <v>158</v>
      </c>
      <c r="B16" s="165"/>
      <c r="C16" s="226"/>
      <c r="D16" s="165"/>
      <c r="E16" s="165"/>
      <c r="F16" s="225"/>
      <c r="G16" s="166" t="s">
        <v>337</v>
      </c>
      <c r="H16" s="167"/>
      <c r="I16" s="163"/>
    </row>
    <row r="17" spans="1:9" ht="15.75" hidden="1" thickBot="1" x14ac:dyDescent="0.3">
      <c r="A17" s="225">
        <v>192</v>
      </c>
      <c r="B17" s="165"/>
      <c r="C17" s="226"/>
      <c r="D17" s="165"/>
      <c r="E17" s="165"/>
      <c r="F17" s="225"/>
      <c r="G17" s="166" t="s">
        <v>338</v>
      </c>
      <c r="H17" s="167"/>
      <c r="I17" s="163"/>
    </row>
    <row r="18" spans="1:9" ht="15.75" hidden="1" thickBot="1" x14ac:dyDescent="0.3">
      <c r="A18" s="225">
        <v>76</v>
      </c>
      <c r="B18" s="165"/>
      <c r="C18" s="226"/>
      <c r="D18" s="165"/>
      <c r="E18" s="165"/>
      <c r="F18" s="225"/>
      <c r="G18" s="166" t="s">
        <v>339</v>
      </c>
      <c r="H18" s="167"/>
      <c r="I18" s="163"/>
    </row>
    <row r="19" spans="1:9" ht="15.75" hidden="1" thickBot="1" x14ac:dyDescent="0.3">
      <c r="A19" s="225">
        <v>144</v>
      </c>
      <c r="B19" s="165"/>
      <c r="C19" s="226"/>
      <c r="D19" s="165"/>
      <c r="E19" s="165"/>
      <c r="F19" s="225"/>
      <c r="G19" s="166" t="s">
        <v>340</v>
      </c>
      <c r="H19" s="167"/>
      <c r="I19" s="163"/>
    </row>
    <row r="20" spans="1:9" ht="15.75" hidden="1" thickBot="1" x14ac:dyDescent="0.3">
      <c r="A20" s="225">
        <v>106</v>
      </c>
      <c r="B20" s="165"/>
      <c r="C20" s="226"/>
      <c r="D20" s="165"/>
      <c r="E20" s="165"/>
      <c r="F20" s="225"/>
      <c r="G20" s="166" t="s">
        <v>341</v>
      </c>
      <c r="H20" s="167"/>
      <c r="I20" s="163"/>
    </row>
    <row r="21" spans="1:9" ht="15.75" hidden="1" thickBot="1" x14ac:dyDescent="0.3">
      <c r="A21" s="225">
        <v>190</v>
      </c>
      <c r="B21" s="165"/>
      <c r="C21" s="226"/>
      <c r="D21" s="165"/>
      <c r="E21" s="165"/>
      <c r="F21" s="225"/>
      <c r="G21" s="166" t="s">
        <v>342</v>
      </c>
      <c r="H21" s="167"/>
      <c r="I21" s="163"/>
    </row>
    <row r="22" spans="1:9" ht="15.75" hidden="1" thickBot="1" x14ac:dyDescent="0.3">
      <c r="A22" s="225">
        <v>5000</v>
      </c>
      <c r="B22" s="165"/>
      <c r="C22" s="226"/>
      <c r="D22" s="165"/>
      <c r="E22" s="165"/>
      <c r="F22" s="225"/>
      <c r="G22" s="166" t="s">
        <v>343</v>
      </c>
      <c r="H22" s="167"/>
      <c r="I22" s="163"/>
    </row>
    <row r="23" spans="1:9" ht="15.75" hidden="1" thickBot="1" x14ac:dyDescent="0.3">
      <c r="A23" s="225">
        <v>2197</v>
      </c>
      <c r="B23" s="165"/>
      <c r="C23" s="226"/>
      <c r="D23" s="165"/>
      <c r="E23" s="165"/>
      <c r="F23" s="225"/>
      <c r="G23" s="166" t="s">
        <v>344</v>
      </c>
      <c r="H23" s="167"/>
      <c r="I23" s="163"/>
    </row>
    <row r="24" spans="1:9" ht="15.75" hidden="1" thickBot="1" x14ac:dyDescent="0.3">
      <c r="A24" s="225">
        <v>1300</v>
      </c>
      <c r="B24" s="165"/>
      <c r="C24" s="226"/>
      <c r="D24" s="165"/>
      <c r="E24" s="165"/>
      <c r="F24" s="225"/>
      <c r="G24" s="166" t="s">
        <v>345</v>
      </c>
      <c r="H24" s="167"/>
      <c r="I24" s="163"/>
    </row>
    <row r="25" spans="1:9" ht="15.75" hidden="1" thickBot="1" x14ac:dyDescent="0.3">
      <c r="A25" s="225">
        <v>7915.86</v>
      </c>
      <c r="B25" s="165"/>
      <c r="C25" s="226"/>
      <c r="D25" s="165"/>
      <c r="E25" s="165"/>
      <c r="F25" s="225"/>
      <c r="G25" s="166" t="s">
        <v>346</v>
      </c>
      <c r="H25" s="167"/>
      <c r="I25" s="163"/>
    </row>
    <row r="26" spans="1:9" ht="15.75" hidden="1" thickBot="1" x14ac:dyDescent="0.3">
      <c r="A26" s="225">
        <v>6444</v>
      </c>
      <c r="B26" s="165"/>
      <c r="C26" s="226"/>
      <c r="D26" s="165"/>
      <c r="E26" s="165"/>
      <c r="F26" s="225"/>
      <c r="G26" s="166" t="s">
        <v>347</v>
      </c>
      <c r="H26" s="167"/>
      <c r="I26" s="163"/>
    </row>
    <row r="27" spans="1:9" ht="15.75" hidden="1" thickBot="1" x14ac:dyDescent="0.3">
      <c r="A27" s="225">
        <v>4355</v>
      </c>
      <c r="B27" s="165"/>
      <c r="C27" s="226"/>
      <c r="D27" s="165"/>
      <c r="E27" s="165"/>
      <c r="F27" s="225"/>
      <c r="G27" s="166" t="s">
        <v>348</v>
      </c>
      <c r="H27" s="167"/>
      <c r="I27" s="163"/>
    </row>
    <row r="28" spans="1:9" ht="15.75" hidden="1" thickBot="1" x14ac:dyDescent="0.3">
      <c r="A28" s="225">
        <v>1696</v>
      </c>
      <c r="B28" s="165"/>
      <c r="C28" s="226"/>
      <c r="D28" s="165"/>
      <c r="E28" s="165"/>
      <c r="F28" s="225"/>
      <c r="G28" s="166" t="s">
        <v>349</v>
      </c>
      <c r="H28" s="167"/>
      <c r="I28" s="163"/>
    </row>
    <row r="29" spans="1:9" ht="15.75" hidden="1" thickBot="1" x14ac:dyDescent="0.3">
      <c r="A29" s="225">
        <v>990</v>
      </c>
      <c r="B29" s="165"/>
      <c r="C29" s="226"/>
      <c r="D29" s="165"/>
      <c r="E29" s="165"/>
      <c r="F29" s="225"/>
      <c r="G29" s="166" t="s">
        <v>350</v>
      </c>
      <c r="H29" s="167"/>
      <c r="I29" s="163"/>
    </row>
    <row r="30" spans="1:9" ht="15.75" hidden="1" thickBot="1" x14ac:dyDescent="0.3">
      <c r="A30" s="225">
        <v>380</v>
      </c>
      <c r="B30" s="165"/>
      <c r="C30" s="226"/>
      <c r="D30" s="165"/>
      <c r="E30" s="165"/>
      <c r="F30" s="225"/>
      <c r="G30" s="166" t="s">
        <v>351</v>
      </c>
      <c r="H30" s="167"/>
      <c r="I30" s="163"/>
    </row>
    <row r="31" spans="1:9" ht="15.75" hidden="1" thickBot="1" x14ac:dyDescent="0.3">
      <c r="A31" s="225">
        <v>627</v>
      </c>
      <c r="B31" s="165"/>
      <c r="C31" s="226"/>
      <c r="D31" s="165"/>
      <c r="E31" s="165"/>
      <c r="F31" s="225"/>
      <c r="G31" s="166" t="s">
        <v>352</v>
      </c>
      <c r="H31" s="167"/>
      <c r="I31" s="163"/>
    </row>
    <row r="32" spans="1:9" ht="15.75" hidden="1" thickBot="1" x14ac:dyDescent="0.3">
      <c r="A32" s="225">
        <v>20</v>
      </c>
      <c r="B32" s="165"/>
      <c r="C32" s="226"/>
      <c r="D32" s="165"/>
      <c r="E32" s="165"/>
      <c r="F32" s="225"/>
      <c r="G32" s="166" t="s">
        <v>353</v>
      </c>
      <c r="H32" s="167"/>
      <c r="I32" s="163"/>
    </row>
    <row r="33" spans="1:9" ht="15.75" hidden="1" thickBot="1" x14ac:dyDescent="0.3">
      <c r="A33" s="225">
        <v>33</v>
      </c>
      <c r="B33" s="165"/>
      <c r="C33" s="226"/>
      <c r="D33" s="165"/>
      <c r="E33" s="165"/>
      <c r="F33" s="225"/>
      <c r="G33" s="166" t="s">
        <v>354</v>
      </c>
      <c r="H33" s="167"/>
      <c r="I33" s="163"/>
    </row>
    <row r="34" spans="1:9" ht="14.25" hidden="1" customHeight="1" x14ac:dyDescent="0.25">
      <c r="A34" s="225">
        <v>212</v>
      </c>
      <c r="B34" s="165"/>
      <c r="C34" s="226"/>
      <c r="D34" s="165"/>
      <c r="E34" s="165"/>
      <c r="F34" s="225"/>
      <c r="G34" s="166" t="s">
        <v>355</v>
      </c>
      <c r="H34" s="167"/>
      <c r="I34" s="163"/>
    </row>
    <row r="35" spans="1:9" ht="15.75" hidden="1" thickBot="1" x14ac:dyDescent="0.3">
      <c r="A35" s="225">
        <v>776</v>
      </c>
      <c r="B35" s="165"/>
      <c r="C35" s="226"/>
      <c r="D35" s="165"/>
      <c r="E35" s="165"/>
      <c r="F35" s="225"/>
      <c r="G35" s="166" t="s">
        <v>356</v>
      </c>
      <c r="H35" s="167"/>
      <c r="I35" s="163"/>
    </row>
    <row r="36" spans="1:9" ht="15.75" hidden="1" thickBot="1" x14ac:dyDescent="0.3">
      <c r="A36" s="225">
        <v>50</v>
      </c>
      <c r="B36" s="165"/>
      <c r="C36" s="226"/>
      <c r="D36" s="165"/>
      <c r="E36" s="165"/>
      <c r="F36" s="225"/>
      <c r="G36" s="166" t="s">
        <v>357</v>
      </c>
      <c r="H36" s="167"/>
      <c r="I36" s="163"/>
    </row>
    <row r="37" spans="1:9" ht="15.75" hidden="1" thickBot="1" x14ac:dyDescent="0.3">
      <c r="A37" s="225">
        <v>295</v>
      </c>
      <c r="B37" s="165"/>
      <c r="C37" s="226"/>
      <c r="D37" s="165"/>
      <c r="E37" s="165"/>
      <c r="F37" s="225"/>
      <c r="G37" s="166" t="s">
        <v>358</v>
      </c>
      <c r="H37" s="167"/>
      <c r="I37" s="163"/>
    </row>
    <row r="38" spans="1:9" ht="15.75" hidden="1" thickBot="1" x14ac:dyDescent="0.3">
      <c r="A38" s="225">
        <v>3693</v>
      </c>
      <c r="B38" s="165"/>
      <c r="C38" s="226"/>
      <c r="D38" s="165"/>
      <c r="E38" s="165"/>
      <c r="F38" s="225"/>
      <c r="G38" s="166" t="s">
        <v>347</v>
      </c>
      <c r="H38" s="167"/>
      <c r="I38" s="163"/>
    </row>
    <row r="39" spans="1:9" ht="15.75" hidden="1" thickBot="1" x14ac:dyDescent="0.3">
      <c r="A39" s="225">
        <v>625.23</v>
      </c>
      <c r="B39" s="165"/>
      <c r="C39" s="226"/>
      <c r="D39" s="165"/>
      <c r="E39" s="165"/>
      <c r="F39" s="225"/>
      <c r="G39" s="166" t="s">
        <v>359</v>
      </c>
      <c r="H39" s="167"/>
      <c r="I39" s="163"/>
    </row>
    <row r="40" spans="1:9" ht="15.75" hidden="1" thickBot="1" x14ac:dyDescent="0.3">
      <c r="A40" s="225">
        <v>1235</v>
      </c>
      <c r="B40" s="165"/>
      <c r="C40" s="226"/>
      <c r="D40" s="165"/>
      <c r="E40" s="165"/>
      <c r="F40" s="225"/>
      <c r="G40" s="166" t="s">
        <v>360</v>
      </c>
      <c r="H40" s="167"/>
      <c r="I40" s="163"/>
    </row>
    <row r="41" spans="1:9" ht="15.75" hidden="1" thickBot="1" x14ac:dyDescent="0.3">
      <c r="A41" s="225">
        <v>910</v>
      </c>
      <c r="B41" s="165"/>
      <c r="C41" s="226"/>
      <c r="D41" s="165"/>
      <c r="E41" s="165"/>
      <c r="F41" s="225"/>
      <c r="G41" s="166" t="s">
        <v>361</v>
      </c>
      <c r="H41" s="167"/>
      <c r="I41" s="163"/>
    </row>
    <row r="42" spans="1:9" ht="15.75" hidden="1" thickBot="1" x14ac:dyDescent="0.3">
      <c r="A42" s="225">
        <v>129.55000000000001</v>
      </c>
      <c r="B42" s="165"/>
      <c r="C42" s="226"/>
      <c r="D42" s="165"/>
      <c r="E42" s="165"/>
      <c r="F42" s="225"/>
      <c r="G42" s="166" t="s">
        <v>362</v>
      </c>
      <c r="H42" s="167"/>
      <c r="I42" s="163"/>
    </row>
    <row r="43" spans="1:9" ht="15.75" hidden="1" thickBot="1" x14ac:dyDescent="0.3">
      <c r="A43" s="225">
        <v>10.33</v>
      </c>
      <c r="B43" s="165"/>
      <c r="C43" s="226"/>
      <c r="D43" s="165"/>
      <c r="E43" s="165"/>
      <c r="F43" s="225"/>
      <c r="G43" s="166" t="s">
        <v>363</v>
      </c>
      <c r="H43" s="167"/>
      <c r="I43" s="163"/>
    </row>
    <row r="44" spans="1:9" ht="15.75" hidden="1" thickBot="1" x14ac:dyDescent="0.3">
      <c r="A44" s="225">
        <v>2503.8000000000002</v>
      </c>
      <c r="B44" s="165"/>
      <c r="C44" s="226"/>
      <c r="D44" s="165"/>
      <c r="E44" s="165"/>
      <c r="F44" s="225"/>
      <c r="G44" s="166" t="s">
        <v>364</v>
      </c>
      <c r="H44" s="167"/>
      <c r="I44" s="163"/>
    </row>
    <row r="45" spans="1:9" ht="15.75" hidden="1" thickBot="1" x14ac:dyDescent="0.3">
      <c r="A45" s="225">
        <v>500.19</v>
      </c>
      <c r="B45" s="165"/>
      <c r="C45" s="226"/>
      <c r="D45" s="165"/>
      <c r="E45" s="165"/>
      <c r="F45" s="225"/>
      <c r="G45" s="166" t="s">
        <v>359</v>
      </c>
      <c r="H45" s="167"/>
      <c r="I45" s="163"/>
    </row>
    <row r="46" spans="1:9" ht="15.75" hidden="1" thickBot="1" x14ac:dyDescent="0.3">
      <c r="A46" s="225">
        <v>578.63</v>
      </c>
      <c r="B46" s="165"/>
      <c r="C46" s="226"/>
      <c r="D46" s="165"/>
      <c r="E46" s="165"/>
      <c r="F46" s="225"/>
      <c r="G46" s="166" t="s">
        <v>365</v>
      </c>
      <c r="H46" s="167"/>
      <c r="I46" s="163"/>
    </row>
    <row r="47" spans="1:9" ht="15.75" hidden="1" thickBot="1" x14ac:dyDescent="0.3">
      <c r="A47" s="225">
        <v>16655</v>
      </c>
      <c r="B47" s="165"/>
      <c r="C47" s="226"/>
      <c r="D47" s="165"/>
      <c r="E47" s="165"/>
      <c r="F47" s="225"/>
      <c r="G47" s="166" t="s">
        <v>180</v>
      </c>
      <c r="H47" s="167"/>
      <c r="I47" s="163"/>
    </row>
    <row r="48" spans="1:9" ht="15.75" hidden="1" thickBot="1" x14ac:dyDescent="0.3">
      <c r="A48" s="225">
        <v>765</v>
      </c>
      <c r="B48" s="165"/>
      <c r="C48" s="226"/>
      <c r="D48" s="165"/>
      <c r="E48" s="165"/>
      <c r="F48" s="225"/>
      <c r="G48" s="166" t="s">
        <v>366</v>
      </c>
      <c r="H48" s="167"/>
      <c r="I48" s="163"/>
    </row>
    <row r="49" spans="1:9" ht="15.75" hidden="1" thickBot="1" x14ac:dyDescent="0.3">
      <c r="A49" s="225">
        <f>SUM(A2:A48)</f>
        <v>63011.590000000011</v>
      </c>
      <c r="B49" s="165"/>
      <c r="C49" s="226"/>
      <c r="D49" s="165"/>
      <c r="E49" s="165"/>
      <c r="F49" s="225"/>
      <c r="G49" s="166" t="s">
        <v>276</v>
      </c>
      <c r="H49" s="167"/>
      <c r="I49" s="163"/>
    </row>
    <row r="50" spans="1:9" ht="15.75" hidden="1" thickBot="1" x14ac:dyDescent="0.3">
      <c r="A50" s="225"/>
      <c r="B50" s="227"/>
      <c r="C50" s="228"/>
      <c r="D50" s="227"/>
      <c r="E50" s="227"/>
      <c r="F50" s="229"/>
      <c r="G50" s="230"/>
      <c r="H50" s="231"/>
      <c r="I50" s="232"/>
    </row>
    <row r="51" spans="1:9" ht="15" customHeight="1" thickBot="1" x14ac:dyDescent="0.3">
      <c r="A51" s="233"/>
      <c r="B51" s="234">
        <v>42016</v>
      </c>
      <c r="C51" s="235" t="s">
        <v>367</v>
      </c>
      <c r="D51" s="236"/>
      <c r="E51" s="236"/>
      <c r="F51" s="200">
        <v>950</v>
      </c>
      <c r="G51" s="181" t="s">
        <v>368</v>
      </c>
      <c r="H51" s="223" t="s">
        <v>369</v>
      </c>
      <c r="I51" s="675">
        <v>92</v>
      </c>
    </row>
    <row r="52" spans="1:9" ht="15.75" thickBot="1" x14ac:dyDescent="0.3">
      <c r="A52" s="233"/>
      <c r="B52" s="237">
        <v>42016</v>
      </c>
      <c r="C52" s="235" t="s">
        <v>367</v>
      </c>
      <c r="D52" s="238"/>
      <c r="E52" s="238"/>
      <c r="F52" s="165">
        <v>150</v>
      </c>
      <c r="G52" s="166" t="s">
        <v>370</v>
      </c>
      <c r="H52" s="116"/>
      <c r="I52" s="676"/>
    </row>
    <row r="53" spans="1:9" ht="15.75" thickBot="1" x14ac:dyDescent="0.3">
      <c r="A53" s="233"/>
      <c r="B53" s="237">
        <v>42016</v>
      </c>
      <c r="C53" s="235" t="s">
        <v>367</v>
      </c>
      <c r="D53" s="238"/>
      <c r="E53" s="238"/>
      <c r="F53" s="165">
        <v>500</v>
      </c>
      <c r="G53" s="166" t="s">
        <v>371</v>
      </c>
      <c r="H53" s="116"/>
      <c r="I53" s="676"/>
    </row>
    <row r="54" spans="1:9" ht="15.75" thickBot="1" x14ac:dyDescent="0.3">
      <c r="A54" s="233"/>
      <c r="B54" s="237">
        <v>42016</v>
      </c>
      <c r="C54" s="235" t="s">
        <v>367</v>
      </c>
      <c r="D54" s="238"/>
      <c r="E54" s="238"/>
      <c r="F54" s="165">
        <v>400</v>
      </c>
      <c r="G54" s="166" t="s">
        <v>371</v>
      </c>
      <c r="H54" s="116"/>
      <c r="I54" s="676"/>
    </row>
    <row r="55" spans="1:9" ht="15.75" thickBot="1" x14ac:dyDescent="0.3">
      <c r="A55" s="239"/>
      <c r="B55" s="240">
        <v>42018</v>
      </c>
      <c r="C55" s="235" t="s">
        <v>367</v>
      </c>
      <c r="D55" s="241"/>
      <c r="E55" s="241"/>
      <c r="F55" s="165">
        <v>146</v>
      </c>
      <c r="G55" s="166" t="s">
        <v>372</v>
      </c>
      <c r="H55" s="116"/>
      <c r="I55" s="676"/>
    </row>
    <row r="56" spans="1:9" ht="15" customHeight="1" thickBot="1" x14ac:dyDescent="0.3">
      <c r="A56" s="239"/>
      <c r="B56" s="240">
        <v>42025</v>
      </c>
      <c r="C56" s="235" t="s">
        <v>367</v>
      </c>
      <c r="D56" s="241"/>
      <c r="E56" s="241"/>
      <c r="F56" s="165">
        <v>600</v>
      </c>
      <c r="G56" s="166" t="s">
        <v>368</v>
      </c>
      <c r="H56" s="116"/>
      <c r="I56" s="676"/>
    </row>
    <row r="57" spans="1:9" ht="15.75" thickBot="1" x14ac:dyDescent="0.3">
      <c r="A57" s="239"/>
      <c r="B57" s="240">
        <v>42025</v>
      </c>
      <c r="C57" s="235" t="s">
        <v>367</v>
      </c>
      <c r="D57" s="241"/>
      <c r="E57" s="241"/>
      <c r="F57" s="165">
        <v>220</v>
      </c>
      <c r="G57" s="166" t="s">
        <v>373</v>
      </c>
      <c r="H57" s="116"/>
      <c r="I57" s="676"/>
    </row>
    <row r="58" spans="1:9" ht="15.75" thickBot="1" x14ac:dyDescent="0.3">
      <c r="A58" s="239"/>
      <c r="B58" s="240">
        <v>42025</v>
      </c>
      <c r="C58" s="235" t="s">
        <v>367</v>
      </c>
      <c r="D58" s="241"/>
      <c r="E58" s="241"/>
      <c r="F58" s="165">
        <v>40</v>
      </c>
      <c r="G58" s="166" t="s">
        <v>374</v>
      </c>
      <c r="H58" s="116"/>
      <c r="I58" s="676"/>
    </row>
    <row r="59" spans="1:9" ht="15.75" thickBot="1" x14ac:dyDescent="0.3">
      <c r="A59" s="239"/>
      <c r="B59" s="240">
        <v>42025</v>
      </c>
      <c r="C59" s="235" t="s">
        <v>367</v>
      </c>
      <c r="D59" s="241"/>
      <c r="E59" s="241"/>
      <c r="F59" s="165">
        <v>45</v>
      </c>
      <c r="G59" s="166" t="s">
        <v>375</v>
      </c>
      <c r="H59" s="116"/>
      <c r="I59" s="676"/>
    </row>
    <row r="60" spans="1:9" ht="15.75" thickBot="1" x14ac:dyDescent="0.3">
      <c r="A60" s="239"/>
      <c r="B60" s="240">
        <v>42025</v>
      </c>
      <c r="C60" s="235" t="s">
        <v>367</v>
      </c>
      <c r="D60" s="241"/>
      <c r="E60" s="241"/>
      <c r="F60" s="165">
        <v>40</v>
      </c>
      <c r="G60" s="166" t="s">
        <v>376</v>
      </c>
      <c r="H60" s="116"/>
      <c r="I60" s="676"/>
    </row>
    <row r="61" spans="1:9" ht="15.75" thickBot="1" x14ac:dyDescent="0.3">
      <c r="A61" s="239"/>
      <c r="B61" s="240">
        <v>42025</v>
      </c>
      <c r="C61" s="235" t="s">
        <v>367</v>
      </c>
      <c r="D61" s="241"/>
      <c r="E61" s="241"/>
      <c r="F61" s="165">
        <v>15</v>
      </c>
      <c r="G61" s="166" t="s">
        <v>377</v>
      </c>
      <c r="H61" s="116"/>
      <c r="I61" s="676"/>
    </row>
    <row r="62" spans="1:9" ht="15.75" thickBot="1" x14ac:dyDescent="0.3">
      <c r="A62" s="239"/>
      <c r="B62" s="240">
        <v>42025</v>
      </c>
      <c r="C62" s="235" t="s">
        <v>367</v>
      </c>
      <c r="D62" s="241"/>
      <c r="E62" s="241"/>
      <c r="F62" s="165">
        <v>300</v>
      </c>
      <c r="G62" s="166" t="s">
        <v>378</v>
      </c>
      <c r="H62" s="116"/>
      <c r="I62" s="676"/>
    </row>
    <row r="63" spans="1:9" ht="15.75" thickBot="1" x14ac:dyDescent="0.3">
      <c r="A63" s="239"/>
      <c r="B63" s="240">
        <v>42025</v>
      </c>
      <c r="C63" s="235" t="s">
        <v>367</v>
      </c>
      <c r="D63" s="241"/>
      <c r="E63" s="241"/>
      <c r="F63" s="165">
        <v>120</v>
      </c>
      <c r="G63" s="166" t="s">
        <v>379</v>
      </c>
      <c r="H63" s="116"/>
      <c r="I63" s="676"/>
    </row>
    <row r="64" spans="1:9" ht="15.75" thickBot="1" x14ac:dyDescent="0.3">
      <c r="A64" s="239"/>
      <c r="B64" s="240">
        <v>42025</v>
      </c>
      <c r="C64" s="235" t="s">
        <v>367</v>
      </c>
      <c r="D64" s="241"/>
      <c r="E64" s="241"/>
      <c r="F64" s="165">
        <v>200</v>
      </c>
      <c r="G64" s="166" t="s">
        <v>368</v>
      </c>
      <c r="H64" s="116"/>
      <c r="I64" s="676"/>
    </row>
    <row r="65" spans="1:9" ht="15.75" thickBot="1" x14ac:dyDescent="0.3">
      <c r="A65" s="239"/>
      <c r="B65" s="240">
        <v>42025</v>
      </c>
      <c r="C65" s="235" t="s">
        <v>367</v>
      </c>
      <c r="D65" s="241"/>
      <c r="E65" s="241"/>
      <c r="F65" s="165">
        <v>15</v>
      </c>
      <c r="G65" s="166" t="s">
        <v>371</v>
      </c>
      <c r="H65" s="116"/>
      <c r="I65" s="676"/>
    </row>
    <row r="66" spans="1:9" ht="15.75" thickBot="1" x14ac:dyDescent="0.3">
      <c r="A66" s="239"/>
      <c r="B66" s="240">
        <v>42025</v>
      </c>
      <c r="C66" s="235" t="s">
        <v>367</v>
      </c>
      <c r="D66" s="241"/>
      <c r="E66" s="241"/>
      <c r="F66" s="165">
        <v>750</v>
      </c>
      <c r="G66" s="166" t="s">
        <v>371</v>
      </c>
      <c r="H66" s="116"/>
      <c r="I66" s="676"/>
    </row>
    <row r="67" spans="1:9" ht="15.75" thickBot="1" x14ac:dyDescent="0.3">
      <c r="A67" s="239"/>
      <c r="B67" s="240">
        <v>42025</v>
      </c>
      <c r="C67" s="235" t="s">
        <v>367</v>
      </c>
      <c r="D67" s="241"/>
      <c r="E67" s="241"/>
      <c r="F67" s="165">
        <v>120</v>
      </c>
      <c r="G67" s="166" t="s">
        <v>375</v>
      </c>
      <c r="H67" s="116"/>
      <c r="I67" s="676"/>
    </row>
    <row r="68" spans="1:9" ht="15.75" thickBot="1" x14ac:dyDescent="0.3">
      <c r="A68" s="239"/>
      <c r="B68" s="240">
        <v>42025</v>
      </c>
      <c r="C68" s="235" t="s">
        <v>367</v>
      </c>
      <c r="D68" s="241"/>
      <c r="E68" s="241"/>
      <c r="F68" s="165">
        <v>70</v>
      </c>
      <c r="G68" s="166" t="s">
        <v>380</v>
      </c>
      <c r="H68" s="116"/>
      <c r="I68" s="676"/>
    </row>
    <row r="69" spans="1:9" ht="15.75" thickBot="1" x14ac:dyDescent="0.3">
      <c r="A69" s="239"/>
      <c r="B69" s="240">
        <v>42025</v>
      </c>
      <c r="C69" s="235" t="s">
        <v>367</v>
      </c>
      <c r="D69" s="241"/>
      <c r="E69" s="241"/>
      <c r="F69" s="165">
        <v>90</v>
      </c>
      <c r="G69" s="166" t="s">
        <v>375</v>
      </c>
      <c r="H69" s="116"/>
      <c r="I69" s="676"/>
    </row>
    <row r="70" spans="1:9" ht="15.75" thickBot="1" x14ac:dyDescent="0.3">
      <c r="A70" s="239"/>
      <c r="B70" s="240">
        <v>42030</v>
      </c>
      <c r="C70" s="235" t="s">
        <v>367</v>
      </c>
      <c r="D70" s="241"/>
      <c r="E70" s="241"/>
      <c r="F70" s="165">
        <v>150</v>
      </c>
      <c r="G70" s="166" t="s">
        <v>371</v>
      </c>
      <c r="H70" s="116"/>
      <c r="I70" s="676"/>
    </row>
    <row r="71" spans="1:9" ht="15.75" thickBot="1" x14ac:dyDescent="0.3">
      <c r="A71" s="239"/>
      <c r="B71" s="240">
        <v>42031</v>
      </c>
      <c r="C71" s="235" t="s">
        <v>367</v>
      </c>
      <c r="D71" s="241"/>
      <c r="E71" s="241"/>
      <c r="F71" s="165">
        <v>100</v>
      </c>
      <c r="G71" s="166" t="s">
        <v>381</v>
      </c>
      <c r="H71" s="116"/>
      <c r="I71" s="676"/>
    </row>
    <row r="72" spans="1:9" ht="15.75" thickBot="1" x14ac:dyDescent="0.3">
      <c r="A72" s="239"/>
      <c r="B72" s="240">
        <v>42032</v>
      </c>
      <c r="C72" s="235" t="s">
        <v>367</v>
      </c>
      <c r="D72" s="241"/>
      <c r="E72" s="241"/>
      <c r="F72" s="165">
        <v>147</v>
      </c>
      <c r="G72" s="166" t="s">
        <v>382</v>
      </c>
      <c r="H72" s="116"/>
      <c r="I72" s="676"/>
    </row>
    <row r="73" spans="1:9" ht="15.75" hidden="1" customHeight="1" thickBot="1" x14ac:dyDescent="0.3">
      <c r="A73" s="239"/>
      <c r="B73" s="242"/>
      <c r="C73" s="243"/>
      <c r="D73" s="244"/>
      <c r="E73" s="244"/>
      <c r="F73" s="245"/>
      <c r="G73" s="246"/>
      <c r="H73" s="189"/>
      <c r="I73" s="677"/>
    </row>
    <row r="74" spans="1:9" ht="30.75" thickBot="1" x14ac:dyDescent="0.3">
      <c r="A74" s="239"/>
      <c r="B74" s="247">
        <v>42061</v>
      </c>
      <c r="C74" s="248" t="s">
        <v>383</v>
      </c>
      <c r="D74" s="203">
        <v>246</v>
      </c>
      <c r="E74" s="204">
        <v>1</v>
      </c>
      <c r="F74" s="203">
        <f>D74*E74</f>
        <v>246</v>
      </c>
      <c r="G74" s="205" t="s">
        <v>384</v>
      </c>
      <c r="H74" s="206" t="s">
        <v>185</v>
      </c>
      <c r="I74" s="249" t="s">
        <v>67</v>
      </c>
    </row>
    <row r="75" spans="1:9" ht="15.75" hidden="1" thickBot="1" x14ac:dyDescent="0.3">
      <c r="A75" s="239"/>
      <c r="B75" s="247">
        <v>42062</v>
      </c>
      <c r="C75" s="205" t="s">
        <v>385</v>
      </c>
      <c r="D75" s="204"/>
      <c r="E75" s="204"/>
      <c r="F75" s="203">
        <v>80</v>
      </c>
      <c r="G75" s="205" t="s">
        <v>386</v>
      </c>
      <c r="H75" s="206" t="s">
        <v>387</v>
      </c>
      <c r="I75" s="249" t="s">
        <v>67</v>
      </c>
    </row>
    <row r="76" spans="1:9" ht="15.75" hidden="1" thickBot="1" x14ac:dyDescent="0.3">
      <c r="A76" s="239"/>
      <c r="B76" s="672">
        <v>42082</v>
      </c>
      <c r="C76" s="235" t="s">
        <v>388</v>
      </c>
      <c r="D76" s="201"/>
      <c r="E76" s="201"/>
      <c r="F76" s="200">
        <v>800</v>
      </c>
      <c r="G76" s="181" t="s">
        <v>389</v>
      </c>
      <c r="H76" s="671" t="s">
        <v>390</v>
      </c>
      <c r="I76" s="675">
        <v>90</v>
      </c>
    </row>
    <row r="77" spans="1:9" ht="15.75" hidden="1" thickBot="1" x14ac:dyDescent="0.3">
      <c r="A77" s="239"/>
      <c r="B77" s="673"/>
      <c r="C77" s="235" t="s">
        <v>388</v>
      </c>
      <c r="D77" s="162"/>
      <c r="E77" s="162"/>
      <c r="F77" s="165">
        <v>200</v>
      </c>
      <c r="G77" s="166" t="s">
        <v>391</v>
      </c>
      <c r="H77" s="658"/>
      <c r="I77" s="676"/>
    </row>
    <row r="78" spans="1:9" ht="15.75" hidden="1" thickBot="1" x14ac:dyDescent="0.3">
      <c r="A78" s="239"/>
      <c r="B78" s="673"/>
      <c r="C78" s="235" t="s">
        <v>388</v>
      </c>
      <c r="D78" s="162"/>
      <c r="E78" s="162"/>
      <c r="F78" s="165">
        <v>600</v>
      </c>
      <c r="G78" s="166" t="s">
        <v>392</v>
      </c>
      <c r="H78" s="658"/>
      <c r="I78" s="676"/>
    </row>
    <row r="79" spans="1:9" ht="15.75" hidden="1" thickBot="1" x14ac:dyDescent="0.3">
      <c r="B79" s="673"/>
      <c r="C79" s="235" t="s">
        <v>388</v>
      </c>
      <c r="D79" s="216"/>
      <c r="E79" s="216"/>
      <c r="F79" s="217">
        <v>500</v>
      </c>
      <c r="G79" s="213" t="s">
        <v>393</v>
      </c>
      <c r="H79" s="658"/>
      <c r="I79" s="676"/>
    </row>
    <row r="80" spans="1:9" ht="15.75" hidden="1" thickBot="1" x14ac:dyDescent="0.3">
      <c r="B80" s="674"/>
      <c r="C80" s="250"/>
      <c r="D80" s="251"/>
      <c r="E80" s="251"/>
      <c r="F80" s="245"/>
      <c r="G80" s="246"/>
      <c r="H80" s="667"/>
      <c r="I80" s="252"/>
    </row>
    <row r="81" spans="2:9" ht="15.75" hidden="1" thickBot="1" x14ac:dyDescent="0.3">
      <c r="B81" s="253">
        <v>42103</v>
      </c>
      <c r="C81" s="248" t="s">
        <v>394</v>
      </c>
      <c r="D81" s="203">
        <v>8960</v>
      </c>
      <c r="E81" s="204">
        <v>1</v>
      </c>
      <c r="F81" s="203">
        <f>D81*E81</f>
        <v>8960</v>
      </c>
      <c r="G81" s="205" t="s">
        <v>395</v>
      </c>
      <c r="H81" s="206"/>
      <c r="I81" s="249">
        <v>90</v>
      </c>
    </row>
    <row r="82" spans="2:9" ht="15" hidden="1" customHeight="1" thickBot="1" x14ac:dyDescent="0.3">
      <c r="B82" s="672">
        <v>42103</v>
      </c>
      <c r="C82" s="235" t="s">
        <v>385</v>
      </c>
      <c r="D82" s="200">
        <v>300</v>
      </c>
      <c r="E82" s="201">
        <v>1</v>
      </c>
      <c r="F82" s="200">
        <f t="shared" ref="F82:F87" si="0">D82*E82</f>
        <v>300</v>
      </c>
      <c r="G82" s="181" t="s">
        <v>396</v>
      </c>
      <c r="H82" s="671" t="s">
        <v>397</v>
      </c>
      <c r="I82" s="675" t="s">
        <v>67</v>
      </c>
    </row>
    <row r="83" spans="2:9" ht="15.75" hidden="1" thickBot="1" x14ac:dyDescent="0.3">
      <c r="B83" s="673"/>
      <c r="C83" s="235" t="s">
        <v>385</v>
      </c>
      <c r="D83" s="165">
        <v>300</v>
      </c>
      <c r="E83" s="162">
        <v>1</v>
      </c>
      <c r="F83" s="165">
        <f t="shared" si="0"/>
        <v>300</v>
      </c>
      <c r="G83" s="166" t="s">
        <v>398</v>
      </c>
      <c r="H83" s="658"/>
      <c r="I83" s="676"/>
    </row>
    <row r="84" spans="2:9" ht="30.75" hidden="1" thickBot="1" x14ac:dyDescent="0.3">
      <c r="B84" s="673"/>
      <c r="C84" s="235" t="s">
        <v>385</v>
      </c>
      <c r="D84" s="165">
        <v>900</v>
      </c>
      <c r="E84" s="162">
        <v>1</v>
      </c>
      <c r="F84" s="165">
        <f t="shared" si="0"/>
        <v>900</v>
      </c>
      <c r="G84" s="166" t="s">
        <v>399</v>
      </c>
      <c r="H84" s="658"/>
      <c r="I84" s="676"/>
    </row>
    <row r="85" spans="2:9" ht="15.75" hidden="1" thickBot="1" x14ac:dyDescent="0.3">
      <c r="B85" s="673"/>
      <c r="C85" s="235" t="s">
        <v>385</v>
      </c>
      <c r="D85" s="165">
        <v>220</v>
      </c>
      <c r="E85" s="162">
        <v>10</v>
      </c>
      <c r="F85" s="165">
        <f t="shared" si="0"/>
        <v>2200</v>
      </c>
      <c r="G85" s="166" t="s">
        <v>400</v>
      </c>
      <c r="H85" s="658"/>
      <c r="I85" s="676"/>
    </row>
    <row r="86" spans="2:9" ht="15.75" hidden="1" thickBot="1" x14ac:dyDescent="0.3">
      <c r="B86" s="673"/>
      <c r="C86" s="235" t="s">
        <v>385</v>
      </c>
      <c r="D86" s="165">
        <v>40</v>
      </c>
      <c r="E86" s="162">
        <v>2</v>
      </c>
      <c r="F86" s="165">
        <f t="shared" si="0"/>
        <v>80</v>
      </c>
      <c r="G86" s="166" t="s">
        <v>401</v>
      </c>
      <c r="H86" s="658"/>
      <c r="I86" s="676"/>
    </row>
    <row r="87" spans="2:9" ht="15.75" hidden="1" thickBot="1" x14ac:dyDescent="0.3">
      <c r="B87" s="673"/>
      <c r="C87" s="235" t="s">
        <v>385</v>
      </c>
      <c r="D87" s="165">
        <v>40</v>
      </c>
      <c r="E87" s="162">
        <v>1</v>
      </c>
      <c r="F87" s="165">
        <f t="shared" si="0"/>
        <v>40</v>
      </c>
      <c r="G87" s="166" t="s">
        <v>402</v>
      </c>
      <c r="H87" s="658"/>
      <c r="I87" s="676"/>
    </row>
    <row r="88" spans="2:9" ht="15.75" hidden="1" thickBot="1" x14ac:dyDescent="0.3">
      <c r="B88" s="674"/>
      <c r="C88" s="250"/>
      <c r="D88" s="254"/>
      <c r="E88" s="251"/>
      <c r="F88" s="245"/>
      <c r="G88" s="246"/>
      <c r="H88" s="667"/>
      <c r="I88" s="677"/>
    </row>
    <row r="89" spans="2:9" ht="15" hidden="1" customHeight="1" x14ac:dyDescent="0.25">
      <c r="B89" s="695">
        <v>42109</v>
      </c>
      <c r="C89" s="255" t="s">
        <v>394</v>
      </c>
      <c r="D89" s="201">
        <f>F89/E89</f>
        <v>8434.1299999999992</v>
      </c>
      <c r="E89" s="201">
        <v>1</v>
      </c>
      <c r="F89" s="200">
        <v>8434.1299999999992</v>
      </c>
      <c r="G89" s="256" t="s">
        <v>403</v>
      </c>
      <c r="H89" s="671" t="s">
        <v>404</v>
      </c>
      <c r="I89" s="675">
        <v>90</v>
      </c>
    </row>
    <row r="90" spans="2:9" ht="17.25" hidden="1" customHeight="1" x14ac:dyDescent="0.25">
      <c r="B90" s="696"/>
      <c r="C90" s="257" t="s">
        <v>385</v>
      </c>
      <c r="D90" s="162">
        <f>F90/E90</f>
        <v>403.92</v>
      </c>
      <c r="E90" s="162">
        <v>2</v>
      </c>
      <c r="F90" s="165">
        <v>807.84</v>
      </c>
      <c r="G90" s="166" t="s">
        <v>405</v>
      </c>
      <c r="H90" s="658"/>
      <c r="I90" s="676"/>
    </row>
    <row r="91" spans="2:9" ht="15.75" hidden="1" thickBot="1" x14ac:dyDescent="0.3">
      <c r="B91" s="696"/>
      <c r="C91" s="257" t="s">
        <v>385</v>
      </c>
      <c r="D91" s="162">
        <f>F91/E91</f>
        <v>4.3075000000000001</v>
      </c>
      <c r="E91" s="162">
        <v>8</v>
      </c>
      <c r="F91" s="165">
        <v>34.46</v>
      </c>
      <c r="G91" s="166" t="s">
        <v>406</v>
      </c>
      <c r="H91" s="658"/>
      <c r="I91" s="676"/>
    </row>
    <row r="92" spans="2:9" ht="15.75" hidden="1" thickBot="1" x14ac:dyDescent="0.3">
      <c r="B92" s="696"/>
      <c r="C92" s="257" t="s">
        <v>385</v>
      </c>
      <c r="D92" s="162">
        <f>F92/E92</f>
        <v>9.9700000000000006</v>
      </c>
      <c r="E92" s="162">
        <v>2</v>
      </c>
      <c r="F92" s="165">
        <v>19.940000000000001</v>
      </c>
      <c r="G92" s="166" t="s">
        <v>407</v>
      </c>
      <c r="H92" s="658"/>
      <c r="I92" s="676"/>
    </row>
    <row r="93" spans="2:9" ht="15.75" hidden="1" thickBot="1" x14ac:dyDescent="0.3">
      <c r="B93" s="696"/>
      <c r="C93" s="257" t="s">
        <v>385</v>
      </c>
      <c r="D93" s="162">
        <f>F93/E93</f>
        <v>12.456250000000001</v>
      </c>
      <c r="E93" s="162">
        <v>8</v>
      </c>
      <c r="F93" s="165">
        <v>99.65</v>
      </c>
      <c r="G93" s="166" t="s">
        <v>408</v>
      </c>
      <c r="H93" s="658"/>
      <c r="I93" s="676"/>
    </row>
    <row r="94" spans="2:9" ht="15.75" hidden="1" thickBot="1" x14ac:dyDescent="0.3">
      <c r="B94" s="697"/>
      <c r="C94" s="258"/>
      <c r="D94" s="251"/>
      <c r="E94" s="251"/>
      <c r="F94" s="245"/>
      <c r="G94" s="246"/>
      <c r="H94" s="667"/>
      <c r="I94" s="677"/>
    </row>
    <row r="95" spans="2:9" ht="15" hidden="1" customHeight="1" thickBot="1" x14ac:dyDescent="0.3">
      <c r="B95" s="698">
        <v>42126</v>
      </c>
      <c r="C95" s="259" t="s">
        <v>388</v>
      </c>
      <c r="D95" s="201">
        <v>250</v>
      </c>
      <c r="E95" s="201">
        <v>1</v>
      </c>
      <c r="F95" s="200">
        <v>250</v>
      </c>
      <c r="G95" s="181" t="s">
        <v>409</v>
      </c>
      <c r="H95" s="701" t="s">
        <v>410</v>
      </c>
      <c r="I95" s="687">
        <v>90</v>
      </c>
    </row>
    <row r="96" spans="2:9" ht="15.75" hidden="1" thickBot="1" x14ac:dyDescent="0.3">
      <c r="B96" s="699"/>
      <c r="C96" s="259" t="s">
        <v>388</v>
      </c>
      <c r="D96" s="260">
        <v>700</v>
      </c>
      <c r="E96" s="260">
        <v>1</v>
      </c>
      <c r="F96" s="261">
        <f t="shared" ref="F96:F131" si="1">D96*E96</f>
        <v>700</v>
      </c>
      <c r="G96" s="106" t="s">
        <v>411</v>
      </c>
      <c r="H96" s="702"/>
      <c r="I96" s="688"/>
    </row>
    <row r="97" spans="2:9" ht="15.75" hidden="1" thickBot="1" x14ac:dyDescent="0.3">
      <c r="B97" s="699"/>
      <c r="C97" s="259" t="s">
        <v>388</v>
      </c>
      <c r="D97" s="260">
        <v>50</v>
      </c>
      <c r="E97" s="260">
        <v>1</v>
      </c>
      <c r="F97" s="261">
        <f t="shared" si="1"/>
        <v>50</v>
      </c>
      <c r="G97" s="106" t="s">
        <v>412</v>
      </c>
      <c r="H97" s="702"/>
      <c r="I97" s="688"/>
    </row>
    <row r="98" spans="2:9" ht="15.75" hidden="1" thickBot="1" x14ac:dyDescent="0.3">
      <c r="B98" s="699"/>
      <c r="C98" s="259" t="s">
        <v>388</v>
      </c>
      <c r="D98" s="260">
        <v>55</v>
      </c>
      <c r="E98" s="260">
        <v>1</v>
      </c>
      <c r="F98" s="261">
        <f t="shared" si="1"/>
        <v>55</v>
      </c>
      <c r="G98" s="106" t="s">
        <v>413</v>
      </c>
      <c r="H98" s="702"/>
      <c r="I98" s="688"/>
    </row>
    <row r="99" spans="2:9" ht="15.75" hidden="1" thickBot="1" x14ac:dyDescent="0.3">
      <c r="B99" s="700"/>
      <c r="C99" s="258"/>
      <c r="D99" s="192"/>
      <c r="E99" s="192"/>
      <c r="F99" s="262"/>
      <c r="G99" s="188"/>
      <c r="H99" s="703"/>
      <c r="I99" s="689"/>
    </row>
    <row r="100" spans="2:9" ht="15" hidden="1" customHeight="1" thickBot="1" x14ac:dyDescent="0.3">
      <c r="B100" s="684">
        <v>42128</v>
      </c>
      <c r="C100" s="235" t="s">
        <v>385</v>
      </c>
      <c r="D100" s="201">
        <v>45</v>
      </c>
      <c r="E100" s="201">
        <v>10</v>
      </c>
      <c r="F100" s="200">
        <f t="shared" si="1"/>
        <v>450</v>
      </c>
      <c r="G100" s="181" t="s">
        <v>414</v>
      </c>
      <c r="H100" s="701" t="s">
        <v>397</v>
      </c>
      <c r="I100" s="687">
        <v>90</v>
      </c>
    </row>
    <row r="101" spans="2:9" ht="15.75" hidden="1" thickBot="1" x14ac:dyDescent="0.3">
      <c r="B101" s="685"/>
      <c r="C101" s="235" t="s">
        <v>385</v>
      </c>
      <c r="D101" s="260">
        <v>180</v>
      </c>
      <c r="E101" s="260">
        <v>4</v>
      </c>
      <c r="F101" s="261">
        <f t="shared" si="1"/>
        <v>720</v>
      </c>
      <c r="G101" s="106" t="s">
        <v>415</v>
      </c>
      <c r="H101" s="702"/>
      <c r="I101" s="688"/>
    </row>
    <row r="102" spans="2:9" ht="15.75" hidden="1" thickBot="1" x14ac:dyDescent="0.3">
      <c r="B102" s="685"/>
      <c r="C102" s="235" t="s">
        <v>385</v>
      </c>
      <c r="D102" s="216">
        <v>200</v>
      </c>
      <c r="E102" s="216">
        <v>4</v>
      </c>
      <c r="F102" s="217">
        <f t="shared" si="1"/>
        <v>800</v>
      </c>
      <c r="G102" s="213" t="s">
        <v>416</v>
      </c>
      <c r="H102" s="702"/>
      <c r="I102" s="688"/>
    </row>
    <row r="103" spans="2:9" ht="15" hidden="1" customHeight="1" thickBot="1" x14ac:dyDescent="0.3">
      <c r="B103" s="685"/>
      <c r="C103" s="235" t="s">
        <v>385</v>
      </c>
      <c r="D103" s="260">
        <v>70</v>
      </c>
      <c r="E103" s="260">
        <v>2</v>
      </c>
      <c r="F103" s="261">
        <f t="shared" si="1"/>
        <v>140</v>
      </c>
      <c r="G103" s="106" t="s">
        <v>417</v>
      </c>
      <c r="H103" s="702"/>
      <c r="I103" s="688"/>
    </row>
    <row r="104" spans="2:9" ht="15.75" hidden="1" thickBot="1" x14ac:dyDescent="0.3">
      <c r="B104" s="685"/>
      <c r="C104" s="235" t="s">
        <v>385</v>
      </c>
      <c r="D104" s="260">
        <v>150</v>
      </c>
      <c r="E104" s="260">
        <v>1</v>
      </c>
      <c r="F104" s="261">
        <f t="shared" si="1"/>
        <v>150</v>
      </c>
      <c r="G104" s="106" t="s">
        <v>418</v>
      </c>
      <c r="H104" s="702"/>
      <c r="I104" s="688"/>
    </row>
    <row r="105" spans="2:9" ht="15.75" hidden="1" thickBot="1" x14ac:dyDescent="0.3">
      <c r="B105" s="685"/>
      <c r="C105" s="235" t="s">
        <v>385</v>
      </c>
      <c r="D105" s="260">
        <v>250</v>
      </c>
      <c r="E105" s="260">
        <v>1</v>
      </c>
      <c r="F105" s="261">
        <f t="shared" si="1"/>
        <v>250</v>
      </c>
      <c r="G105" s="106" t="s">
        <v>419</v>
      </c>
      <c r="H105" s="702"/>
      <c r="I105" s="688"/>
    </row>
    <row r="106" spans="2:9" ht="15.75" hidden="1" thickBot="1" x14ac:dyDescent="0.3">
      <c r="B106" s="685"/>
      <c r="C106" s="235" t="s">
        <v>385</v>
      </c>
      <c r="D106" s="260">
        <v>900</v>
      </c>
      <c r="E106" s="260">
        <v>1</v>
      </c>
      <c r="F106" s="261">
        <f t="shared" si="1"/>
        <v>900</v>
      </c>
      <c r="G106" s="106" t="s">
        <v>420</v>
      </c>
      <c r="H106" s="702"/>
      <c r="I106" s="688"/>
    </row>
    <row r="107" spans="2:9" ht="15.75" hidden="1" thickBot="1" x14ac:dyDescent="0.3">
      <c r="B107" s="685"/>
      <c r="C107" s="235" t="s">
        <v>385</v>
      </c>
      <c r="D107" s="260">
        <v>1700</v>
      </c>
      <c r="E107" s="260">
        <v>1</v>
      </c>
      <c r="F107" s="261">
        <f t="shared" si="1"/>
        <v>1700</v>
      </c>
      <c r="G107" s="106" t="s">
        <v>421</v>
      </c>
      <c r="H107" s="702"/>
      <c r="I107" s="688"/>
    </row>
    <row r="108" spans="2:9" ht="15.75" hidden="1" thickBot="1" x14ac:dyDescent="0.3">
      <c r="B108" s="685"/>
      <c r="C108" s="235" t="s">
        <v>385</v>
      </c>
      <c r="D108" s="260">
        <v>140</v>
      </c>
      <c r="E108" s="260">
        <v>1</v>
      </c>
      <c r="F108" s="261">
        <f t="shared" si="1"/>
        <v>140</v>
      </c>
      <c r="G108" s="106" t="s">
        <v>422</v>
      </c>
      <c r="H108" s="702"/>
      <c r="I108" s="688"/>
    </row>
    <row r="109" spans="2:9" ht="15.75" hidden="1" thickBot="1" x14ac:dyDescent="0.3">
      <c r="B109" s="685"/>
      <c r="C109" s="235" t="s">
        <v>385</v>
      </c>
      <c r="D109" s="260">
        <v>90</v>
      </c>
      <c r="E109" s="260">
        <v>2</v>
      </c>
      <c r="F109" s="261">
        <f t="shared" si="1"/>
        <v>180</v>
      </c>
      <c r="G109" s="106" t="s">
        <v>423</v>
      </c>
      <c r="H109" s="702"/>
      <c r="I109" s="688"/>
    </row>
    <row r="110" spans="2:9" ht="15.75" hidden="1" thickBot="1" x14ac:dyDescent="0.3">
      <c r="B110" s="685"/>
      <c r="C110" s="235" t="s">
        <v>385</v>
      </c>
      <c r="D110" s="260">
        <v>15</v>
      </c>
      <c r="E110" s="260">
        <v>1</v>
      </c>
      <c r="F110" s="261">
        <f t="shared" si="1"/>
        <v>15</v>
      </c>
      <c r="G110" s="106" t="s">
        <v>424</v>
      </c>
      <c r="H110" s="702"/>
      <c r="I110" s="688"/>
    </row>
    <row r="111" spans="2:9" ht="15.75" hidden="1" thickBot="1" x14ac:dyDescent="0.3">
      <c r="B111" s="686"/>
      <c r="C111" s="250"/>
      <c r="D111" s="192"/>
      <c r="E111" s="192"/>
      <c r="F111" s="262"/>
      <c r="G111" s="188"/>
      <c r="H111" s="703"/>
      <c r="I111" s="689"/>
    </row>
    <row r="112" spans="2:9" ht="15" hidden="1" customHeight="1" thickBot="1" x14ac:dyDescent="0.3">
      <c r="B112" s="693" t="s">
        <v>425</v>
      </c>
      <c r="C112" s="215" t="s">
        <v>385</v>
      </c>
      <c r="D112" s="201">
        <v>1500</v>
      </c>
      <c r="E112" s="201">
        <v>1</v>
      </c>
      <c r="F112" s="200">
        <f t="shared" si="1"/>
        <v>1500</v>
      </c>
      <c r="G112" s="181" t="s">
        <v>426</v>
      </c>
      <c r="H112" s="671" t="s">
        <v>427</v>
      </c>
      <c r="I112" s="687">
        <v>92</v>
      </c>
    </row>
    <row r="113" spans="2:9" ht="15.75" hidden="1" thickBot="1" x14ac:dyDescent="0.3">
      <c r="B113" s="694"/>
      <c r="C113" s="215" t="s">
        <v>385</v>
      </c>
      <c r="D113" s="260">
        <v>500</v>
      </c>
      <c r="E113" s="260">
        <v>1</v>
      </c>
      <c r="F113" s="261">
        <f t="shared" si="1"/>
        <v>500</v>
      </c>
      <c r="G113" s="106" t="s">
        <v>428</v>
      </c>
      <c r="H113" s="658"/>
      <c r="I113" s="688"/>
    </row>
    <row r="114" spans="2:9" ht="15.75" hidden="1" thickBot="1" x14ac:dyDescent="0.3">
      <c r="B114" s="694"/>
      <c r="C114" s="215" t="s">
        <v>385</v>
      </c>
      <c r="D114" s="260">
        <v>200</v>
      </c>
      <c r="E114" s="260">
        <v>1</v>
      </c>
      <c r="F114" s="261">
        <f t="shared" si="1"/>
        <v>200</v>
      </c>
      <c r="G114" s="106" t="s">
        <v>429</v>
      </c>
      <c r="H114" s="658"/>
      <c r="I114" s="688"/>
    </row>
    <row r="115" spans="2:9" ht="35.25" hidden="1" customHeight="1" x14ac:dyDescent="0.25">
      <c r="B115" s="263">
        <v>42145</v>
      </c>
      <c r="C115" s="215" t="s">
        <v>385</v>
      </c>
      <c r="D115" s="260">
        <v>35</v>
      </c>
      <c r="E115" s="260">
        <v>10</v>
      </c>
      <c r="F115" s="261">
        <f t="shared" si="1"/>
        <v>350</v>
      </c>
      <c r="G115" s="106" t="s">
        <v>430</v>
      </c>
      <c r="H115" s="658"/>
      <c r="I115" s="264" t="s">
        <v>67</v>
      </c>
    </row>
    <row r="116" spans="2:9" ht="35.25" hidden="1" customHeight="1" thickBot="1" x14ac:dyDescent="0.3">
      <c r="B116" s="265"/>
      <c r="C116" s="188"/>
      <c r="D116" s="251"/>
      <c r="E116" s="251"/>
      <c r="F116" s="245"/>
      <c r="G116" s="246"/>
      <c r="H116" s="667"/>
      <c r="I116" s="266"/>
    </row>
    <row r="117" spans="2:9" ht="15" hidden="1" customHeight="1" thickBot="1" x14ac:dyDescent="0.3">
      <c r="B117" s="672">
        <v>42150</v>
      </c>
      <c r="C117" s="235" t="s">
        <v>388</v>
      </c>
      <c r="D117" s="201">
        <v>75</v>
      </c>
      <c r="E117" s="201">
        <v>1</v>
      </c>
      <c r="F117" s="200">
        <f t="shared" si="1"/>
        <v>75</v>
      </c>
      <c r="G117" s="181" t="s">
        <v>431</v>
      </c>
      <c r="H117" s="671" t="s">
        <v>432</v>
      </c>
      <c r="I117" s="675">
        <v>92</v>
      </c>
    </row>
    <row r="118" spans="2:9" ht="15.75" hidden="1" thickBot="1" x14ac:dyDescent="0.3">
      <c r="B118" s="673"/>
      <c r="C118" s="235" t="s">
        <v>388</v>
      </c>
      <c r="D118" s="260">
        <v>85</v>
      </c>
      <c r="E118" s="260">
        <v>1</v>
      </c>
      <c r="F118" s="261">
        <f t="shared" si="1"/>
        <v>85</v>
      </c>
      <c r="G118" s="106" t="s">
        <v>433</v>
      </c>
      <c r="H118" s="658"/>
      <c r="I118" s="676"/>
    </row>
    <row r="119" spans="2:9" ht="15.75" hidden="1" thickBot="1" x14ac:dyDescent="0.3">
      <c r="B119" s="673"/>
      <c r="C119" s="235" t="s">
        <v>388</v>
      </c>
      <c r="D119" s="260">
        <v>20</v>
      </c>
      <c r="E119" s="260">
        <v>1</v>
      </c>
      <c r="F119" s="261">
        <f t="shared" si="1"/>
        <v>20</v>
      </c>
      <c r="G119" s="106" t="s">
        <v>434</v>
      </c>
      <c r="H119" s="658"/>
      <c r="I119" s="676"/>
    </row>
    <row r="120" spans="2:9" ht="15.75" hidden="1" thickBot="1" x14ac:dyDescent="0.3">
      <c r="B120" s="673"/>
      <c r="C120" s="235" t="s">
        <v>388</v>
      </c>
      <c r="D120" s="260">
        <v>40</v>
      </c>
      <c r="E120" s="260">
        <v>1</v>
      </c>
      <c r="F120" s="261">
        <f t="shared" si="1"/>
        <v>40</v>
      </c>
      <c r="G120" s="106" t="s">
        <v>435</v>
      </c>
      <c r="H120" s="658"/>
      <c r="I120" s="676"/>
    </row>
    <row r="121" spans="2:9" ht="15.75" hidden="1" thickBot="1" x14ac:dyDescent="0.3">
      <c r="B121" s="674"/>
      <c r="C121" s="250"/>
      <c r="D121" s="251"/>
      <c r="E121" s="251"/>
      <c r="F121" s="245"/>
      <c r="G121" s="246"/>
      <c r="H121" s="667"/>
      <c r="I121" s="677"/>
    </row>
    <row r="122" spans="2:9" ht="15" hidden="1" customHeight="1" thickBot="1" x14ac:dyDescent="0.3">
      <c r="B122" s="684">
        <v>42151</v>
      </c>
      <c r="C122" s="235" t="s">
        <v>388</v>
      </c>
      <c r="D122" s="201">
        <v>20</v>
      </c>
      <c r="E122" s="201">
        <v>2</v>
      </c>
      <c r="F122" s="200">
        <f t="shared" si="1"/>
        <v>40</v>
      </c>
      <c r="G122" s="181" t="s">
        <v>436</v>
      </c>
      <c r="H122" s="671" t="s">
        <v>208</v>
      </c>
      <c r="I122" s="675">
        <v>92</v>
      </c>
    </row>
    <row r="123" spans="2:9" ht="15.75" hidden="1" thickBot="1" x14ac:dyDescent="0.3">
      <c r="B123" s="685"/>
      <c r="C123" s="235" t="s">
        <v>388</v>
      </c>
      <c r="D123" s="260">
        <v>200</v>
      </c>
      <c r="E123" s="260">
        <v>1</v>
      </c>
      <c r="F123" s="261">
        <f t="shared" si="1"/>
        <v>200</v>
      </c>
      <c r="G123" s="106" t="s">
        <v>429</v>
      </c>
      <c r="H123" s="658"/>
      <c r="I123" s="676"/>
    </row>
    <row r="124" spans="2:9" ht="15.75" hidden="1" thickBot="1" x14ac:dyDescent="0.3">
      <c r="B124" s="685"/>
      <c r="C124" s="235" t="s">
        <v>388</v>
      </c>
      <c r="D124" s="260">
        <v>500</v>
      </c>
      <c r="E124" s="260">
        <v>1</v>
      </c>
      <c r="F124" s="261">
        <f t="shared" si="1"/>
        <v>500</v>
      </c>
      <c r="G124" s="106" t="s">
        <v>428</v>
      </c>
      <c r="H124" s="658"/>
      <c r="I124" s="676"/>
    </row>
    <row r="125" spans="2:9" ht="15.75" hidden="1" thickBot="1" x14ac:dyDescent="0.3">
      <c r="B125" s="685"/>
      <c r="C125" s="235" t="s">
        <v>388</v>
      </c>
      <c r="D125" s="260">
        <v>500</v>
      </c>
      <c r="E125" s="260">
        <v>2</v>
      </c>
      <c r="F125" s="261">
        <f t="shared" si="1"/>
        <v>1000</v>
      </c>
      <c r="G125" s="106" t="s">
        <v>437</v>
      </c>
      <c r="H125" s="658"/>
      <c r="I125" s="676"/>
    </row>
    <row r="126" spans="2:9" ht="32.25" hidden="1" customHeight="1" x14ac:dyDescent="0.25">
      <c r="B126" s="685"/>
      <c r="C126" s="235" t="s">
        <v>388</v>
      </c>
      <c r="D126" s="260">
        <v>60</v>
      </c>
      <c r="E126" s="260">
        <v>2</v>
      </c>
      <c r="F126" s="261">
        <f t="shared" si="1"/>
        <v>120</v>
      </c>
      <c r="G126" s="106" t="s">
        <v>438</v>
      </c>
      <c r="H126" s="658"/>
      <c r="I126" s="676"/>
    </row>
    <row r="127" spans="2:9" ht="32.25" hidden="1" customHeight="1" thickBot="1" x14ac:dyDescent="0.3">
      <c r="B127" s="686"/>
      <c r="C127" s="250"/>
      <c r="D127" s="251"/>
      <c r="E127" s="251"/>
      <c r="F127" s="245"/>
      <c r="G127" s="246"/>
      <c r="H127" s="667"/>
      <c r="I127" s="677"/>
    </row>
    <row r="128" spans="2:9" ht="32.25" hidden="1" customHeight="1" thickBot="1" x14ac:dyDescent="0.3">
      <c r="B128" s="253">
        <v>42153</v>
      </c>
      <c r="C128" s="248" t="s">
        <v>385</v>
      </c>
      <c r="D128" s="204">
        <v>50</v>
      </c>
      <c r="E128" s="204">
        <v>3</v>
      </c>
      <c r="F128" s="203">
        <f t="shared" si="1"/>
        <v>150</v>
      </c>
      <c r="G128" s="205" t="s">
        <v>439</v>
      </c>
      <c r="H128" s="206" t="s">
        <v>440</v>
      </c>
      <c r="I128" s="249" t="s">
        <v>67</v>
      </c>
    </row>
    <row r="129" spans="2:9" ht="30" hidden="1" customHeight="1" thickBot="1" x14ac:dyDescent="0.3">
      <c r="B129" s="672">
        <v>42154</v>
      </c>
      <c r="C129" s="235" t="s">
        <v>388</v>
      </c>
      <c r="D129" s="201">
        <v>40</v>
      </c>
      <c r="E129" s="201">
        <v>2</v>
      </c>
      <c r="F129" s="200">
        <f t="shared" si="1"/>
        <v>80</v>
      </c>
      <c r="G129" s="181" t="s">
        <v>441</v>
      </c>
      <c r="H129" s="671" t="s">
        <v>442</v>
      </c>
      <c r="I129" s="675" t="s">
        <v>443</v>
      </c>
    </row>
    <row r="130" spans="2:9" ht="30" hidden="1" customHeight="1" thickBot="1" x14ac:dyDescent="0.3">
      <c r="B130" s="673"/>
      <c r="C130" s="235" t="s">
        <v>388</v>
      </c>
      <c r="D130" s="260">
        <v>220</v>
      </c>
      <c r="E130" s="260">
        <v>2</v>
      </c>
      <c r="F130" s="261">
        <f t="shared" si="1"/>
        <v>440</v>
      </c>
      <c r="G130" s="106" t="s">
        <v>444</v>
      </c>
      <c r="H130" s="658"/>
      <c r="I130" s="676"/>
    </row>
    <row r="131" spans="2:9" ht="15.75" hidden="1" thickBot="1" x14ac:dyDescent="0.3">
      <c r="B131" s="673"/>
      <c r="C131" s="235" t="s">
        <v>388</v>
      </c>
      <c r="D131" s="260">
        <v>20</v>
      </c>
      <c r="E131" s="260">
        <v>3</v>
      </c>
      <c r="F131" s="261">
        <f t="shared" si="1"/>
        <v>60</v>
      </c>
      <c r="G131" s="106" t="s">
        <v>445</v>
      </c>
      <c r="H131" s="658"/>
      <c r="I131" s="676"/>
    </row>
    <row r="132" spans="2:9" ht="15.75" hidden="1" thickBot="1" x14ac:dyDescent="0.3">
      <c r="B132" s="674"/>
      <c r="C132" s="250"/>
      <c r="D132" s="251"/>
      <c r="E132" s="251"/>
      <c r="F132" s="245"/>
      <c r="G132" s="246"/>
      <c r="H132" s="667"/>
      <c r="I132" s="677"/>
    </row>
    <row r="133" spans="2:9" ht="30.75" hidden="1" thickBot="1" x14ac:dyDescent="0.3">
      <c r="B133" s="253">
        <v>42157</v>
      </c>
      <c r="C133" s="248" t="s">
        <v>394</v>
      </c>
      <c r="D133" s="204">
        <f>F133/E133</f>
        <v>243.16521739130437</v>
      </c>
      <c r="E133" s="204">
        <v>23</v>
      </c>
      <c r="F133" s="203">
        <v>5592.8</v>
      </c>
      <c r="G133" s="205" t="s">
        <v>446</v>
      </c>
      <c r="H133" s="206" t="s">
        <v>447</v>
      </c>
      <c r="I133" s="249" t="s">
        <v>448</v>
      </c>
    </row>
    <row r="134" spans="2:9" ht="45.75" hidden="1" thickBot="1" x14ac:dyDescent="0.3">
      <c r="B134" s="253">
        <v>42163</v>
      </c>
      <c r="C134" s="248" t="s">
        <v>385</v>
      </c>
      <c r="D134" s="203">
        <v>186</v>
      </c>
      <c r="E134" s="204">
        <v>2</v>
      </c>
      <c r="F134" s="203">
        <f t="shared" ref="F134:F197" si="2">D134*E134</f>
        <v>372</v>
      </c>
      <c r="G134" s="205" t="s">
        <v>449</v>
      </c>
      <c r="H134" s="206" t="s">
        <v>187</v>
      </c>
      <c r="I134" s="249" t="s">
        <v>448</v>
      </c>
    </row>
    <row r="135" spans="2:9" ht="15" customHeight="1" thickBot="1" x14ac:dyDescent="0.3">
      <c r="B135" s="672">
        <v>42163</v>
      </c>
      <c r="C135" s="267" t="s">
        <v>383</v>
      </c>
      <c r="D135" s="268">
        <v>46.5</v>
      </c>
      <c r="E135" s="201">
        <v>2</v>
      </c>
      <c r="F135" s="200">
        <f t="shared" si="2"/>
        <v>93</v>
      </c>
      <c r="G135" s="181" t="s">
        <v>450</v>
      </c>
      <c r="H135" s="223" t="s">
        <v>187</v>
      </c>
      <c r="I135" s="675" t="s">
        <v>448</v>
      </c>
    </row>
    <row r="136" spans="2:9" ht="15.75" thickBot="1" x14ac:dyDescent="0.3">
      <c r="B136" s="673"/>
      <c r="C136" s="267" t="s">
        <v>383</v>
      </c>
      <c r="D136" s="261">
        <v>55.8</v>
      </c>
      <c r="E136" s="260">
        <v>2</v>
      </c>
      <c r="F136" s="261">
        <f t="shared" si="2"/>
        <v>111.6</v>
      </c>
      <c r="G136" s="106" t="s">
        <v>451</v>
      </c>
      <c r="H136" s="116"/>
      <c r="I136" s="676"/>
    </row>
    <row r="137" spans="2:9" ht="15.75" thickBot="1" x14ac:dyDescent="0.3">
      <c r="B137" s="673"/>
      <c r="C137" s="267" t="s">
        <v>383</v>
      </c>
      <c r="D137" s="261">
        <v>186</v>
      </c>
      <c r="E137" s="260">
        <v>2</v>
      </c>
      <c r="F137" s="261">
        <f t="shared" si="2"/>
        <v>372</v>
      </c>
      <c r="G137" s="106" t="s">
        <v>452</v>
      </c>
      <c r="H137" s="116"/>
      <c r="I137" s="676"/>
    </row>
    <row r="138" spans="2:9" ht="15.75" thickBot="1" x14ac:dyDescent="0.3">
      <c r="B138" s="673"/>
      <c r="C138" s="267" t="s">
        <v>383</v>
      </c>
      <c r="D138" s="261">
        <v>27.9</v>
      </c>
      <c r="E138" s="260">
        <v>6</v>
      </c>
      <c r="F138" s="261">
        <f t="shared" si="2"/>
        <v>167.39999999999998</v>
      </c>
      <c r="G138" s="106" t="s">
        <v>453</v>
      </c>
      <c r="H138" s="116"/>
      <c r="I138" s="676"/>
    </row>
    <row r="139" spans="2:9" ht="15.75" thickBot="1" x14ac:dyDescent="0.3">
      <c r="B139" s="673"/>
      <c r="C139" s="267" t="s">
        <v>383</v>
      </c>
      <c r="D139" s="261">
        <v>651</v>
      </c>
      <c r="E139" s="260">
        <v>2</v>
      </c>
      <c r="F139" s="261">
        <f t="shared" si="2"/>
        <v>1302</v>
      </c>
      <c r="G139" s="106" t="s">
        <v>454</v>
      </c>
      <c r="H139" s="116"/>
      <c r="I139" s="676"/>
    </row>
    <row r="140" spans="2:9" ht="15.75" thickBot="1" x14ac:dyDescent="0.3">
      <c r="B140" s="673"/>
      <c r="C140" s="267" t="s">
        <v>383</v>
      </c>
      <c r="D140" s="261">
        <v>18.600000000000001</v>
      </c>
      <c r="E140" s="260">
        <v>2</v>
      </c>
      <c r="F140" s="261">
        <f t="shared" si="2"/>
        <v>37.200000000000003</v>
      </c>
      <c r="G140" s="106" t="s">
        <v>455</v>
      </c>
      <c r="H140" s="116"/>
      <c r="I140" s="676"/>
    </row>
    <row r="141" spans="2:9" ht="15.75" thickBot="1" x14ac:dyDescent="0.3">
      <c r="B141" s="673"/>
      <c r="C141" s="267" t="s">
        <v>383</v>
      </c>
      <c r="D141" s="260">
        <v>32.549999999999997</v>
      </c>
      <c r="E141" s="260">
        <v>10</v>
      </c>
      <c r="F141" s="261">
        <f t="shared" si="2"/>
        <v>325.5</v>
      </c>
      <c r="G141" s="106" t="s">
        <v>430</v>
      </c>
      <c r="H141" s="116"/>
      <c r="I141" s="676"/>
    </row>
    <row r="142" spans="2:9" ht="15.75" thickBot="1" x14ac:dyDescent="0.3">
      <c r="B142" s="673"/>
      <c r="C142" s="267" t="s">
        <v>383</v>
      </c>
      <c r="D142" s="260">
        <v>6.51</v>
      </c>
      <c r="E142" s="260">
        <v>10</v>
      </c>
      <c r="F142" s="261">
        <f t="shared" si="2"/>
        <v>65.099999999999994</v>
      </c>
      <c r="G142" s="106" t="s">
        <v>456</v>
      </c>
      <c r="H142" s="116"/>
      <c r="I142" s="676"/>
    </row>
    <row r="143" spans="2:9" ht="15.75" thickBot="1" x14ac:dyDescent="0.3">
      <c r="B143" s="673"/>
      <c r="C143" s="267" t="s">
        <v>383</v>
      </c>
      <c r="D143" s="261">
        <v>9.3000000000000007</v>
      </c>
      <c r="E143" s="260">
        <v>10</v>
      </c>
      <c r="F143" s="261">
        <f t="shared" si="2"/>
        <v>93</v>
      </c>
      <c r="G143" s="106" t="s">
        <v>457</v>
      </c>
      <c r="H143" s="116"/>
      <c r="I143" s="676"/>
    </row>
    <row r="144" spans="2:9" ht="15.75" thickBot="1" x14ac:dyDescent="0.3">
      <c r="B144" s="673"/>
      <c r="C144" s="267" t="s">
        <v>383</v>
      </c>
      <c r="D144" s="261">
        <v>37.200000000000003</v>
      </c>
      <c r="E144" s="260">
        <v>2</v>
      </c>
      <c r="F144" s="261">
        <f t="shared" si="2"/>
        <v>74.400000000000006</v>
      </c>
      <c r="G144" s="106" t="s">
        <v>458</v>
      </c>
      <c r="H144" s="116"/>
      <c r="I144" s="676"/>
    </row>
    <row r="145" spans="2:9" ht="15.75" thickBot="1" x14ac:dyDescent="0.3">
      <c r="B145" s="673"/>
      <c r="C145" s="267" t="s">
        <v>383</v>
      </c>
      <c r="D145" s="260">
        <v>13.95</v>
      </c>
      <c r="E145" s="260">
        <v>2</v>
      </c>
      <c r="F145" s="174">
        <f t="shared" si="2"/>
        <v>27.9</v>
      </c>
      <c r="G145" s="269" t="s">
        <v>459</v>
      </c>
      <c r="H145" s="116"/>
      <c r="I145" s="676"/>
    </row>
    <row r="146" spans="2:9" ht="15.75" thickBot="1" x14ac:dyDescent="0.3">
      <c r="B146" s="673"/>
      <c r="C146" s="267" t="s">
        <v>383</v>
      </c>
      <c r="D146" s="261">
        <v>37.200000000000003</v>
      </c>
      <c r="E146" s="260">
        <v>2</v>
      </c>
      <c r="F146" s="261">
        <f t="shared" si="2"/>
        <v>74.400000000000006</v>
      </c>
      <c r="G146" s="106" t="s">
        <v>460</v>
      </c>
      <c r="H146" s="116"/>
      <c r="I146" s="676"/>
    </row>
    <row r="147" spans="2:9" ht="15.75" thickBot="1" x14ac:dyDescent="0.3">
      <c r="B147" s="673"/>
      <c r="C147" s="267" t="s">
        <v>383</v>
      </c>
      <c r="D147" s="261">
        <v>139.5</v>
      </c>
      <c r="E147" s="260">
        <v>10</v>
      </c>
      <c r="F147" s="261">
        <f t="shared" si="2"/>
        <v>1395</v>
      </c>
      <c r="G147" s="106" t="s">
        <v>461</v>
      </c>
      <c r="H147" s="116"/>
      <c r="I147" s="676"/>
    </row>
    <row r="148" spans="2:9" ht="15.75" thickBot="1" x14ac:dyDescent="0.3">
      <c r="B148" s="673"/>
      <c r="C148" s="267" t="s">
        <v>383</v>
      </c>
      <c r="D148" s="261">
        <v>232.5</v>
      </c>
      <c r="E148" s="260">
        <v>10</v>
      </c>
      <c r="F148" s="261">
        <f t="shared" si="2"/>
        <v>2325</v>
      </c>
      <c r="G148" s="106" t="s">
        <v>462</v>
      </c>
      <c r="H148" s="116"/>
      <c r="I148" s="676"/>
    </row>
    <row r="149" spans="2:9" ht="15.75" thickBot="1" x14ac:dyDescent="0.3">
      <c r="B149" s="673"/>
      <c r="C149" s="267" t="s">
        <v>383</v>
      </c>
      <c r="D149" s="261">
        <v>28.4</v>
      </c>
      <c r="E149" s="260">
        <v>5</v>
      </c>
      <c r="F149" s="261">
        <f t="shared" si="2"/>
        <v>142</v>
      </c>
      <c r="G149" s="106" t="s">
        <v>463</v>
      </c>
      <c r="H149" s="116"/>
      <c r="I149" s="676"/>
    </row>
    <row r="150" spans="2:9" ht="15.75" thickBot="1" x14ac:dyDescent="0.3">
      <c r="B150" s="673"/>
      <c r="C150" s="267" t="s">
        <v>383</v>
      </c>
      <c r="D150" s="217">
        <v>139.5</v>
      </c>
      <c r="E150" s="216">
        <v>1</v>
      </c>
      <c r="F150" s="217">
        <f t="shared" si="2"/>
        <v>139.5</v>
      </c>
      <c r="G150" s="213" t="s">
        <v>464</v>
      </c>
      <c r="H150" s="116"/>
      <c r="I150" s="676"/>
    </row>
    <row r="151" spans="2:9" ht="15.75" hidden="1" customHeight="1" thickBot="1" x14ac:dyDescent="0.3">
      <c r="B151" s="674"/>
      <c r="C151" s="270"/>
      <c r="D151" s="254"/>
      <c r="E151" s="251"/>
      <c r="F151" s="245"/>
      <c r="G151" s="246"/>
      <c r="H151" s="189"/>
      <c r="I151" s="677"/>
    </row>
    <row r="152" spans="2:9" ht="15.75" thickBot="1" x14ac:dyDescent="0.3">
      <c r="B152" s="247">
        <v>42173</v>
      </c>
      <c r="C152" s="248" t="s">
        <v>465</v>
      </c>
      <c r="D152" s="203">
        <v>15</v>
      </c>
      <c r="E152" s="204">
        <v>4</v>
      </c>
      <c r="F152" s="203">
        <f t="shared" si="2"/>
        <v>60</v>
      </c>
      <c r="G152" s="205" t="s">
        <v>466</v>
      </c>
      <c r="H152" s="206" t="s">
        <v>188</v>
      </c>
      <c r="I152" s="249" t="s">
        <v>448</v>
      </c>
    </row>
    <row r="153" spans="2:9" ht="15" customHeight="1" thickBot="1" x14ac:dyDescent="0.3">
      <c r="B153" s="672">
        <v>42173</v>
      </c>
      <c r="C153" s="235" t="s">
        <v>383</v>
      </c>
      <c r="D153" s="201">
        <v>13.95</v>
      </c>
      <c r="E153" s="201">
        <v>4</v>
      </c>
      <c r="F153" s="200">
        <f t="shared" si="2"/>
        <v>55.8</v>
      </c>
      <c r="G153" s="181" t="s">
        <v>467</v>
      </c>
      <c r="H153" s="223" t="s">
        <v>187</v>
      </c>
      <c r="I153" s="675" t="s">
        <v>468</v>
      </c>
    </row>
    <row r="154" spans="2:9" ht="15.75" thickBot="1" x14ac:dyDescent="0.3">
      <c r="B154" s="673"/>
      <c r="C154" s="235" t="s">
        <v>383</v>
      </c>
      <c r="D154" s="261">
        <v>325.5</v>
      </c>
      <c r="E154" s="260">
        <v>3</v>
      </c>
      <c r="F154" s="261">
        <f t="shared" si="2"/>
        <v>976.5</v>
      </c>
      <c r="G154" s="106" t="s">
        <v>469</v>
      </c>
      <c r="H154" s="116"/>
      <c r="I154" s="676"/>
    </row>
    <row r="155" spans="2:9" ht="15.75" thickBot="1" x14ac:dyDescent="0.3">
      <c r="B155" s="673"/>
      <c r="C155" s="235" t="s">
        <v>383</v>
      </c>
      <c r="D155" s="261">
        <v>372</v>
      </c>
      <c r="E155" s="260">
        <v>3</v>
      </c>
      <c r="F155" s="261">
        <f t="shared" si="2"/>
        <v>1116</v>
      </c>
      <c r="G155" s="106" t="s">
        <v>470</v>
      </c>
      <c r="H155" s="116"/>
      <c r="I155" s="676"/>
    </row>
    <row r="156" spans="2:9" ht="15.75" thickBot="1" x14ac:dyDescent="0.3">
      <c r="B156" s="673"/>
      <c r="C156" s="235" t="s">
        <v>383</v>
      </c>
      <c r="D156" s="260">
        <v>32.549999999999997</v>
      </c>
      <c r="E156" s="260">
        <v>2</v>
      </c>
      <c r="F156" s="261">
        <f t="shared" si="2"/>
        <v>65.099999999999994</v>
      </c>
      <c r="G156" s="106" t="s">
        <v>471</v>
      </c>
      <c r="H156" s="116"/>
      <c r="I156" s="676"/>
    </row>
    <row r="157" spans="2:9" ht="15.75" thickBot="1" x14ac:dyDescent="0.3">
      <c r="B157" s="673"/>
      <c r="C157" s="235" t="s">
        <v>383</v>
      </c>
      <c r="D157" s="261">
        <v>27.9</v>
      </c>
      <c r="E157" s="260">
        <v>1</v>
      </c>
      <c r="F157" s="261">
        <f t="shared" si="2"/>
        <v>27.9</v>
      </c>
      <c r="G157" s="106" t="s">
        <v>472</v>
      </c>
      <c r="H157" s="116"/>
      <c r="I157" s="676"/>
    </row>
    <row r="158" spans="2:9" ht="15.75" thickBot="1" x14ac:dyDescent="0.3">
      <c r="B158" s="673"/>
      <c r="C158" s="235" t="s">
        <v>383</v>
      </c>
      <c r="D158" s="261">
        <v>37.200000000000003</v>
      </c>
      <c r="E158" s="260">
        <v>2</v>
      </c>
      <c r="F158" s="261">
        <f t="shared" si="2"/>
        <v>74.400000000000006</v>
      </c>
      <c r="G158" s="106" t="s">
        <v>473</v>
      </c>
      <c r="H158" s="116"/>
      <c r="I158" s="676"/>
    </row>
    <row r="159" spans="2:9" ht="15.75" thickBot="1" x14ac:dyDescent="0.3">
      <c r="B159" s="673"/>
      <c r="C159" s="235" t="s">
        <v>383</v>
      </c>
      <c r="D159" s="261">
        <v>18.600000000000001</v>
      </c>
      <c r="E159" s="260">
        <v>6</v>
      </c>
      <c r="F159" s="261">
        <f t="shared" si="2"/>
        <v>111.60000000000001</v>
      </c>
      <c r="G159" s="106" t="s">
        <v>474</v>
      </c>
      <c r="H159" s="116"/>
      <c r="I159" s="676"/>
    </row>
    <row r="160" spans="2:9" ht="15.75" thickBot="1" x14ac:dyDescent="0.3">
      <c r="B160" s="673"/>
      <c r="C160" s="235" t="s">
        <v>383</v>
      </c>
      <c r="D160" s="261">
        <v>111.6</v>
      </c>
      <c r="E160" s="260">
        <v>2</v>
      </c>
      <c r="F160" s="261">
        <f t="shared" si="2"/>
        <v>223.2</v>
      </c>
      <c r="G160" s="106" t="s">
        <v>475</v>
      </c>
      <c r="H160" s="116"/>
      <c r="I160" s="676"/>
    </row>
    <row r="161" spans="2:9" ht="15.75" thickBot="1" x14ac:dyDescent="0.3">
      <c r="B161" s="673"/>
      <c r="C161" s="235" t="s">
        <v>383</v>
      </c>
      <c r="D161" s="261">
        <v>23.5</v>
      </c>
      <c r="E161" s="260">
        <v>1</v>
      </c>
      <c r="F161" s="261">
        <f t="shared" si="2"/>
        <v>23.5</v>
      </c>
      <c r="G161" s="106" t="s">
        <v>476</v>
      </c>
      <c r="H161" s="116"/>
      <c r="I161" s="676"/>
    </row>
    <row r="162" spans="2:9" ht="15.75" hidden="1" customHeight="1" thickBot="1" x14ac:dyDescent="0.3">
      <c r="B162" s="674"/>
      <c r="C162" s="250"/>
      <c r="D162" s="254"/>
      <c r="E162" s="251"/>
      <c r="F162" s="245"/>
      <c r="G162" s="246"/>
      <c r="H162" s="189"/>
      <c r="I162" s="677"/>
    </row>
    <row r="163" spans="2:9" ht="15" hidden="1" customHeight="1" thickBot="1" x14ac:dyDescent="0.3">
      <c r="B163" s="672">
        <v>42173</v>
      </c>
      <c r="C163" s="235" t="s">
        <v>180</v>
      </c>
      <c r="D163" s="200">
        <v>279</v>
      </c>
      <c r="E163" s="201">
        <v>2</v>
      </c>
      <c r="F163" s="200">
        <f t="shared" si="2"/>
        <v>558</v>
      </c>
      <c r="G163" s="181" t="s">
        <v>477</v>
      </c>
      <c r="H163" s="671" t="s">
        <v>478</v>
      </c>
      <c r="I163" s="675" t="s">
        <v>245</v>
      </c>
    </row>
    <row r="164" spans="2:9" ht="15.75" hidden="1" thickBot="1" x14ac:dyDescent="0.3">
      <c r="B164" s="673"/>
      <c r="C164" s="235" t="s">
        <v>180</v>
      </c>
      <c r="D164" s="261">
        <v>372</v>
      </c>
      <c r="E164" s="260">
        <v>2</v>
      </c>
      <c r="F164" s="261">
        <f t="shared" si="2"/>
        <v>744</v>
      </c>
      <c r="G164" s="106" t="s">
        <v>479</v>
      </c>
      <c r="H164" s="658"/>
      <c r="I164" s="676"/>
    </row>
    <row r="165" spans="2:9" ht="15.75" hidden="1" thickBot="1" x14ac:dyDescent="0.3">
      <c r="B165" s="673"/>
      <c r="C165" s="235" t="s">
        <v>180</v>
      </c>
      <c r="D165" s="261">
        <v>511.5</v>
      </c>
      <c r="E165" s="260">
        <v>1</v>
      </c>
      <c r="F165" s="261">
        <f t="shared" si="2"/>
        <v>511.5</v>
      </c>
      <c r="G165" s="106" t="s">
        <v>480</v>
      </c>
      <c r="H165" s="658"/>
      <c r="I165" s="676"/>
    </row>
    <row r="166" spans="2:9" ht="15.75" hidden="1" thickBot="1" x14ac:dyDescent="0.3">
      <c r="B166" s="673"/>
      <c r="C166" s="235" t="s">
        <v>180</v>
      </c>
      <c r="D166" s="261">
        <v>139.5</v>
      </c>
      <c r="E166" s="260">
        <v>1</v>
      </c>
      <c r="F166" s="261">
        <f t="shared" si="2"/>
        <v>139.5</v>
      </c>
      <c r="G166" s="106" t="s">
        <v>481</v>
      </c>
      <c r="H166" s="658"/>
      <c r="I166" s="676"/>
    </row>
    <row r="167" spans="2:9" ht="15.75" hidden="1" thickBot="1" x14ac:dyDescent="0.3">
      <c r="B167" s="673"/>
      <c r="C167" s="235" t="s">
        <v>180</v>
      </c>
      <c r="D167" s="261">
        <v>465</v>
      </c>
      <c r="E167" s="260">
        <v>1</v>
      </c>
      <c r="F167" s="261">
        <f t="shared" si="2"/>
        <v>465</v>
      </c>
      <c r="G167" s="106" t="s">
        <v>482</v>
      </c>
      <c r="H167" s="658"/>
      <c r="I167" s="676"/>
    </row>
    <row r="168" spans="2:9" ht="15.75" hidden="1" thickBot="1" x14ac:dyDescent="0.3">
      <c r="B168" s="673"/>
      <c r="C168" s="235" t="s">
        <v>180</v>
      </c>
      <c r="D168" s="261">
        <v>372</v>
      </c>
      <c r="E168" s="260">
        <v>1</v>
      </c>
      <c r="F168" s="261">
        <f t="shared" si="2"/>
        <v>372</v>
      </c>
      <c r="G168" s="106" t="s">
        <v>483</v>
      </c>
      <c r="H168" s="658"/>
      <c r="I168" s="676"/>
    </row>
    <row r="169" spans="2:9" ht="15.75" hidden="1" thickBot="1" x14ac:dyDescent="0.3">
      <c r="B169" s="673"/>
      <c r="C169" s="235" t="s">
        <v>180</v>
      </c>
      <c r="D169" s="261">
        <v>186</v>
      </c>
      <c r="E169" s="260">
        <v>1</v>
      </c>
      <c r="F169" s="261">
        <f t="shared" si="2"/>
        <v>186</v>
      </c>
      <c r="G169" s="106" t="s">
        <v>484</v>
      </c>
      <c r="H169" s="658"/>
      <c r="I169" s="676"/>
    </row>
    <row r="170" spans="2:9" ht="15.75" hidden="1" thickBot="1" x14ac:dyDescent="0.3">
      <c r="B170" s="673"/>
      <c r="C170" s="235" t="s">
        <v>180</v>
      </c>
      <c r="D170" s="261">
        <v>69.900000000000006</v>
      </c>
      <c r="E170" s="260">
        <v>1</v>
      </c>
      <c r="F170" s="261">
        <f t="shared" si="2"/>
        <v>69.900000000000006</v>
      </c>
      <c r="G170" s="106" t="s">
        <v>485</v>
      </c>
      <c r="H170" s="658"/>
      <c r="I170" s="676"/>
    </row>
    <row r="171" spans="2:9" ht="30.75" hidden="1" thickBot="1" x14ac:dyDescent="0.3">
      <c r="B171" s="673"/>
      <c r="C171" s="235" t="s">
        <v>180</v>
      </c>
      <c r="D171" s="261">
        <v>3673.5</v>
      </c>
      <c r="E171" s="260">
        <v>1</v>
      </c>
      <c r="F171" s="261">
        <f t="shared" si="2"/>
        <v>3673.5</v>
      </c>
      <c r="G171" s="106" t="s">
        <v>486</v>
      </c>
      <c r="H171" s="658"/>
      <c r="I171" s="676"/>
    </row>
    <row r="172" spans="2:9" ht="15.75" hidden="1" thickBot="1" x14ac:dyDescent="0.3">
      <c r="B172" s="673"/>
      <c r="C172" s="235" t="s">
        <v>180</v>
      </c>
      <c r="D172" s="261">
        <v>18.600000000000001</v>
      </c>
      <c r="E172" s="260">
        <v>1</v>
      </c>
      <c r="F172" s="261">
        <f t="shared" si="2"/>
        <v>18.600000000000001</v>
      </c>
      <c r="G172" s="106" t="s">
        <v>487</v>
      </c>
      <c r="H172" s="658"/>
      <c r="I172" s="676"/>
    </row>
    <row r="173" spans="2:9" ht="15.75" hidden="1" thickBot="1" x14ac:dyDescent="0.3">
      <c r="B173" s="674"/>
      <c r="C173" s="250"/>
      <c r="D173" s="254"/>
      <c r="E173" s="251"/>
      <c r="F173" s="245"/>
      <c r="G173" s="246"/>
      <c r="H173" s="667"/>
      <c r="I173" s="677"/>
    </row>
    <row r="174" spans="2:9" ht="15" customHeight="1" thickBot="1" x14ac:dyDescent="0.3">
      <c r="B174" s="672">
        <v>42181</v>
      </c>
      <c r="C174" s="235" t="s">
        <v>367</v>
      </c>
      <c r="D174" s="200">
        <v>27.9</v>
      </c>
      <c r="E174" s="201">
        <v>10</v>
      </c>
      <c r="F174" s="200">
        <f t="shared" si="2"/>
        <v>279</v>
      </c>
      <c r="G174" s="181" t="s">
        <v>488</v>
      </c>
      <c r="H174" s="223" t="s">
        <v>189</v>
      </c>
      <c r="I174" s="675">
        <v>90</v>
      </c>
    </row>
    <row r="175" spans="2:9" ht="15.75" thickBot="1" x14ac:dyDescent="0.3">
      <c r="B175" s="673"/>
      <c r="C175" s="235" t="s">
        <v>367</v>
      </c>
      <c r="D175" s="261">
        <v>6.51</v>
      </c>
      <c r="E175" s="260">
        <v>10</v>
      </c>
      <c r="F175" s="261">
        <f t="shared" si="2"/>
        <v>65.099999999999994</v>
      </c>
      <c r="G175" s="106" t="s">
        <v>489</v>
      </c>
      <c r="H175" s="116"/>
      <c r="I175" s="676"/>
    </row>
    <row r="176" spans="2:9" ht="15.75" thickBot="1" x14ac:dyDescent="0.3">
      <c r="B176" s="673"/>
      <c r="C176" s="235" t="s">
        <v>367</v>
      </c>
      <c r="D176" s="261">
        <v>139.5</v>
      </c>
      <c r="E176" s="260">
        <v>10</v>
      </c>
      <c r="F176" s="261">
        <f t="shared" si="2"/>
        <v>1395</v>
      </c>
      <c r="G176" s="106" t="s">
        <v>490</v>
      </c>
      <c r="H176" s="116"/>
      <c r="I176" s="676"/>
    </row>
    <row r="177" spans="2:9" ht="15.75" thickBot="1" x14ac:dyDescent="0.3">
      <c r="B177" s="673"/>
      <c r="C177" s="235" t="s">
        <v>367</v>
      </c>
      <c r="D177" s="261">
        <v>837</v>
      </c>
      <c r="E177" s="260">
        <v>1</v>
      </c>
      <c r="F177" s="261">
        <f t="shared" si="2"/>
        <v>837</v>
      </c>
      <c r="G177" s="106" t="s">
        <v>491</v>
      </c>
      <c r="H177" s="116"/>
      <c r="I177" s="676"/>
    </row>
    <row r="178" spans="2:9" ht="32.25" customHeight="1" thickBot="1" x14ac:dyDescent="0.3">
      <c r="B178" s="673"/>
      <c r="C178" s="235" t="s">
        <v>367</v>
      </c>
      <c r="D178" s="261">
        <v>74.900000000000006</v>
      </c>
      <c r="E178" s="260">
        <v>1</v>
      </c>
      <c r="F178" s="261">
        <f t="shared" si="2"/>
        <v>74.900000000000006</v>
      </c>
      <c r="G178" s="106" t="s">
        <v>492</v>
      </c>
      <c r="H178" s="116"/>
      <c r="I178" s="676"/>
    </row>
    <row r="179" spans="2:9" ht="32.25" hidden="1" customHeight="1" thickBot="1" x14ac:dyDescent="0.3">
      <c r="B179" s="674"/>
      <c r="C179" s="250"/>
      <c r="D179" s="254"/>
      <c r="E179" s="251"/>
      <c r="F179" s="245"/>
      <c r="G179" s="246"/>
      <c r="H179" s="189"/>
      <c r="I179" s="677"/>
    </row>
    <row r="180" spans="2:9" ht="30" hidden="1" customHeight="1" thickBot="1" x14ac:dyDescent="0.3">
      <c r="B180" s="672">
        <v>42181</v>
      </c>
      <c r="C180" s="235" t="s">
        <v>180</v>
      </c>
      <c r="D180" s="200">
        <v>3790</v>
      </c>
      <c r="E180" s="201">
        <v>1</v>
      </c>
      <c r="F180" s="200">
        <f t="shared" si="2"/>
        <v>3790</v>
      </c>
      <c r="G180" s="181" t="s">
        <v>493</v>
      </c>
      <c r="H180" s="671" t="s">
        <v>494</v>
      </c>
      <c r="I180" s="675" t="s">
        <v>245</v>
      </c>
    </row>
    <row r="181" spans="2:9" ht="15.75" hidden="1" thickBot="1" x14ac:dyDescent="0.3">
      <c r="B181" s="673"/>
      <c r="C181" s="235" t="s">
        <v>180</v>
      </c>
      <c r="D181" s="261">
        <v>412</v>
      </c>
      <c r="E181" s="260">
        <v>1</v>
      </c>
      <c r="F181" s="261">
        <f t="shared" si="2"/>
        <v>412</v>
      </c>
      <c r="G181" s="106" t="s">
        <v>495</v>
      </c>
      <c r="H181" s="658"/>
      <c r="I181" s="676"/>
    </row>
    <row r="182" spans="2:9" ht="15.75" hidden="1" thickBot="1" x14ac:dyDescent="0.3">
      <c r="B182" s="674"/>
      <c r="C182" s="250"/>
      <c r="D182" s="254"/>
      <c r="E182" s="251"/>
      <c r="F182" s="245"/>
      <c r="G182" s="246"/>
      <c r="H182" s="667"/>
      <c r="I182" s="677"/>
    </row>
    <row r="183" spans="2:9" ht="30.75" hidden="1" thickBot="1" x14ac:dyDescent="0.3">
      <c r="B183" s="271">
        <v>42182</v>
      </c>
      <c r="C183" s="272" t="s">
        <v>385</v>
      </c>
      <c r="D183" s="273">
        <v>837</v>
      </c>
      <c r="E183" s="274">
        <v>1</v>
      </c>
      <c r="F183" s="273">
        <f t="shared" si="2"/>
        <v>837</v>
      </c>
      <c r="G183" s="275" t="s">
        <v>399</v>
      </c>
      <c r="H183" s="276"/>
      <c r="I183" s="277" t="s">
        <v>245</v>
      </c>
    </row>
    <row r="184" spans="2:9" ht="30" customHeight="1" thickBot="1" x14ac:dyDescent="0.3">
      <c r="B184" s="278">
        <v>42182</v>
      </c>
      <c r="C184" s="235" t="s">
        <v>367</v>
      </c>
      <c r="D184" s="200">
        <v>37.1</v>
      </c>
      <c r="E184" s="201">
        <v>1</v>
      </c>
      <c r="F184" s="200">
        <f t="shared" si="2"/>
        <v>37.1</v>
      </c>
      <c r="G184" s="181" t="s">
        <v>496</v>
      </c>
      <c r="H184" s="223" t="s">
        <v>190</v>
      </c>
      <c r="I184" s="279">
        <v>90</v>
      </c>
    </row>
    <row r="185" spans="2:9" ht="30" customHeight="1" thickBot="1" x14ac:dyDescent="0.3">
      <c r="B185" s="263">
        <v>42184</v>
      </c>
      <c r="C185" s="235" t="s">
        <v>367</v>
      </c>
      <c r="D185" s="261">
        <v>37.1</v>
      </c>
      <c r="E185" s="260">
        <v>1</v>
      </c>
      <c r="F185" s="261">
        <f t="shared" si="2"/>
        <v>37.1</v>
      </c>
      <c r="G185" s="106" t="s">
        <v>496</v>
      </c>
      <c r="H185" s="116"/>
      <c r="I185" s="264">
        <v>90</v>
      </c>
    </row>
    <row r="186" spans="2:9" ht="30" customHeight="1" thickBot="1" x14ac:dyDescent="0.3">
      <c r="B186" s="263">
        <v>42185</v>
      </c>
      <c r="C186" s="235" t="s">
        <v>367</v>
      </c>
      <c r="D186" s="261">
        <v>145.5</v>
      </c>
      <c r="E186" s="260">
        <v>2</v>
      </c>
      <c r="F186" s="261">
        <f t="shared" si="2"/>
        <v>291</v>
      </c>
      <c r="G186" s="106" t="s">
        <v>497</v>
      </c>
      <c r="H186" s="116"/>
      <c r="I186" s="264">
        <v>90</v>
      </c>
    </row>
    <row r="187" spans="2:9" ht="30" customHeight="1" thickBot="1" x14ac:dyDescent="0.3">
      <c r="B187" s="263">
        <v>42185</v>
      </c>
      <c r="C187" s="235" t="s">
        <v>367</v>
      </c>
      <c r="D187" s="261">
        <v>11.5</v>
      </c>
      <c r="E187" s="260">
        <v>10</v>
      </c>
      <c r="F187" s="261">
        <f t="shared" si="2"/>
        <v>115</v>
      </c>
      <c r="G187" s="106" t="s">
        <v>498</v>
      </c>
      <c r="H187" s="116"/>
      <c r="I187" s="264">
        <v>90</v>
      </c>
    </row>
    <row r="188" spans="2:9" ht="30" customHeight="1" thickBot="1" x14ac:dyDescent="0.3">
      <c r="B188" s="263">
        <v>42190</v>
      </c>
      <c r="C188" s="235" t="s">
        <v>367</v>
      </c>
      <c r="D188" s="261">
        <v>78</v>
      </c>
      <c r="E188" s="260">
        <v>1</v>
      </c>
      <c r="F188" s="261">
        <f t="shared" si="2"/>
        <v>78</v>
      </c>
      <c r="G188" s="106" t="s">
        <v>499</v>
      </c>
      <c r="H188" s="116"/>
      <c r="I188" s="264" t="s">
        <v>67</v>
      </c>
    </row>
    <row r="189" spans="2:9" ht="15.75" hidden="1" customHeight="1" thickBot="1" x14ac:dyDescent="0.3">
      <c r="B189" s="265"/>
      <c r="C189" s="250"/>
      <c r="D189" s="209"/>
      <c r="E189" s="192"/>
      <c r="F189" s="262"/>
      <c r="G189" s="188"/>
      <c r="H189" s="189"/>
      <c r="I189" s="266"/>
    </row>
    <row r="190" spans="2:9" ht="15" hidden="1" customHeight="1" thickBot="1" x14ac:dyDescent="0.3">
      <c r="B190" s="672">
        <v>42193</v>
      </c>
      <c r="C190" s="235" t="s">
        <v>180</v>
      </c>
      <c r="D190" s="200">
        <v>1495</v>
      </c>
      <c r="E190" s="201">
        <v>1</v>
      </c>
      <c r="F190" s="200">
        <f t="shared" si="2"/>
        <v>1495</v>
      </c>
      <c r="G190" s="181" t="s">
        <v>500</v>
      </c>
      <c r="H190" s="671" t="s">
        <v>189</v>
      </c>
      <c r="I190" s="675" t="s">
        <v>245</v>
      </c>
    </row>
    <row r="191" spans="2:9" ht="15.75" hidden="1" thickBot="1" x14ac:dyDescent="0.3">
      <c r="B191" s="673"/>
      <c r="C191" s="235" t="s">
        <v>180</v>
      </c>
      <c r="D191" s="261">
        <v>2640</v>
      </c>
      <c r="E191" s="260">
        <v>1</v>
      </c>
      <c r="F191" s="261">
        <f t="shared" si="2"/>
        <v>2640</v>
      </c>
      <c r="G191" s="106" t="s">
        <v>501</v>
      </c>
      <c r="H191" s="658"/>
      <c r="I191" s="676"/>
    </row>
    <row r="192" spans="2:9" ht="15.75" hidden="1" thickBot="1" x14ac:dyDescent="0.3">
      <c r="B192" s="673"/>
      <c r="C192" s="235" t="s">
        <v>180</v>
      </c>
      <c r="D192" s="261">
        <v>115</v>
      </c>
      <c r="E192" s="260">
        <v>1</v>
      </c>
      <c r="F192" s="261">
        <f t="shared" si="2"/>
        <v>115</v>
      </c>
      <c r="G192" s="106" t="s">
        <v>502</v>
      </c>
      <c r="H192" s="658"/>
      <c r="I192" s="676"/>
    </row>
    <row r="193" spans="2:9" ht="15.75" hidden="1" thickBot="1" x14ac:dyDescent="0.3">
      <c r="B193" s="673"/>
      <c r="C193" s="235" t="s">
        <v>180</v>
      </c>
      <c r="D193" s="261">
        <v>215</v>
      </c>
      <c r="E193" s="260">
        <v>1</v>
      </c>
      <c r="F193" s="261">
        <f t="shared" si="2"/>
        <v>215</v>
      </c>
      <c r="G193" s="106" t="s">
        <v>503</v>
      </c>
      <c r="H193" s="658"/>
      <c r="I193" s="676"/>
    </row>
    <row r="194" spans="2:9" ht="15.75" hidden="1" thickBot="1" x14ac:dyDescent="0.3">
      <c r="B194" s="673"/>
      <c r="C194" s="235" t="s">
        <v>180</v>
      </c>
      <c r="D194" s="261">
        <v>415</v>
      </c>
      <c r="E194" s="260">
        <v>1</v>
      </c>
      <c r="F194" s="261">
        <f t="shared" si="2"/>
        <v>415</v>
      </c>
      <c r="G194" s="106" t="s">
        <v>504</v>
      </c>
      <c r="H194" s="658"/>
      <c r="I194" s="676"/>
    </row>
    <row r="195" spans="2:9" ht="15.75" hidden="1" thickBot="1" x14ac:dyDescent="0.3">
      <c r="B195" s="673"/>
      <c r="C195" s="235" t="s">
        <v>180</v>
      </c>
      <c r="D195" s="261">
        <v>68</v>
      </c>
      <c r="E195" s="260">
        <v>1</v>
      </c>
      <c r="F195" s="261">
        <f t="shared" si="2"/>
        <v>68</v>
      </c>
      <c r="G195" s="106" t="s">
        <v>505</v>
      </c>
      <c r="H195" s="658"/>
      <c r="I195" s="676"/>
    </row>
    <row r="196" spans="2:9" ht="15.75" hidden="1" thickBot="1" x14ac:dyDescent="0.3">
      <c r="B196" s="673"/>
      <c r="C196" s="235" t="s">
        <v>180</v>
      </c>
      <c r="D196" s="261">
        <v>80</v>
      </c>
      <c r="E196" s="260">
        <v>1</v>
      </c>
      <c r="F196" s="261">
        <f t="shared" si="2"/>
        <v>80</v>
      </c>
      <c r="G196" s="106" t="s">
        <v>506</v>
      </c>
      <c r="H196" s="658"/>
      <c r="I196" s="676"/>
    </row>
    <row r="197" spans="2:9" ht="15.75" hidden="1" thickBot="1" x14ac:dyDescent="0.3">
      <c r="B197" s="673"/>
      <c r="C197" s="235" t="s">
        <v>180</v>
      </c>
      <c r="D197" s="261">
        <v>93</v>
      </c>
      <c r="E197" s="260">
        <v>1</v>
      </c>
      <c r="F197" s="261">
        <f t="shared" si="2"/>
        <v>93</v>
      </c>
      <c r="G197" s="106" t="s">
        <v>507</v>
      </c>
      <c r="H197" s="658"/>
      <c r="I197" s="676"/>
    </row>
    <row r="198" spans="2:9" ht="15.75" hidden="1" thickBot="1" x14ac:dyDescent="0.3">
      <c r="B198" s="673"/>
      <c r="C198" s="235" t="s">
        <v>180</v>
      </c>
      <c r="D198" s="261">
        <v>150</v>
      </c>
      <c r="E198" s="260">
        <v>1</v>
      </c>
      <c r="F198" s="261">
        <f t="shared" ref="F198:F216" si="3">D198*E198</f>
        <v>150</v>
      </c>
      <c r="G198" s="106" t="s">
        <v>508</v>
      </c>
      <c r="H198" s="658"/>
      <c r="I198" s="676"/>
    </row>
    <row r="199" spans="2:9" ht="15.75" hidden="1" thickBot="1" x14ac:dyDescent="0.3">
      <c r="B199" s="673"/>
      <c r="C199" s="235" t="s">
        <v>180</v>
      </c>
      <c r="D199" s="261">
        <v>235</v>
      </c>
      <c r="E199" s="260">
        <v>1</v>
      </c>
      <c r="F199" s="261">
        <f t="shared" si="3"/>
        <v>235</v>
      </c>
      <c r="G199" s="106" t="s">
        <v>509</v>
      </c>
      <c r="H199" s="658"/>
      <c r="I199" s="676"/>
    </row>
    <row r="200" spans="2:9" ht="15.75" hidden="1" thickBot="1" x14ac:dyDescent="0.3">
      <c r="B200" s="673"/>
      <c r="C200" s="235" t="s">
        <v>180</v>
      </c>
      <c r="D200" s="261">
        <v>375</v>
      </c>
      <c r="E200" s="260">
        <v>1</v>
      </c>
      <c r="F200" s="261">
        <f t="shared" si="3"/>
        <v>375</v>
      </c>
      <c r="G200" s="106" t="s">
        <v>510</v>
      </c>
      <c r="H200" s="658"/>
      <c r="I200" s="676"/>
    </row>
    <row r="201" spans="2:9" ht="15.75" hidden="1" thickBot="1" x14ac:dyDescent="0.3">
      <c r="B201" s="673"/>
      <c r="C201" s="235" t="s">
        <v>180</v>
      </c>
      <c r="D201" s="217">
        <v>375</v>
      </c>
      <c r="E201" s="216">
        <v>1</v>
      </c>
      <c r="F201" s="217">
        <f t="shared" si="3"/>
        <v>375</v>
      </c>
      <c r="G201" s="280" t="s">
        <v>511</v>
      </c>
      <c r="H201" s="658"/>
      <c r="I201" s="676"/>
    </row>
    <row r="202" spans="2:9" ht="15.75" hidden="1" thickBot="1" x14ac:dyDescent="0.3">
      <c r="B202" s="674"/>
      <c r="C202" s="250"/>
      <c r="D202" s="254"/>
      <c r="E202" s="251"/>
      <c r="F202" s="245"/>
      <c r="G202" s="281"/>
      <c r="H202" s="667"/>
      <c r="I202" s="677"/>
    </row>
    <row r="203" spans="2:9" ht="30" hidden="1" customHeight="1" thickBot="1" x14ac:dyDescent="0.3">
      <c r="B203" s="684">
        <v>42193</v>
      </c>
      <c r="C203" s="235" t="s">
        <v>388</v>
      </c>
      <c r="D203" s="200">
        <v>830</v>
      </c>
      <c r="E203" s="201">
        <v>1</v>
      </c>
      <c r="F203" s="200">
        <f t="shared" si="3"/>
        <v>830</v>
      </c>
      <c r="G203" s="181" t="s">
        <v>512</v>
      </c>
      <c r="H203" s="671" t="s">
        <v>513</v>
      </c>
      <c r="I203" s="675">
        <v>90</v>
      </c>
    </row>
    <row r="204" spans="2:9" ht="15.75" hidden="1" thickBot="1" x14ac:dyDescent="0.3">
      <c r="B204" s="685"/>
      <c r="C204" s="235" t="s">
        <v>388</v>
      </c>
      <c r="D204" s="261">
        <v>1536</v>
      </c>
      <c r="E204" s="260">
        <v>1</v>
      </c>
      <c r="F204" s="261">
        <f t="shared" si="3"/>
        <v>1536</v>
      </c>
      <c r="G204" s="106" t="s">
        <v>514</v>
      </c>
      <c r="H204" s="658"/>
      <c r="I204" s="676"/>
    </row>
    <row r="205" spans="2:9" ht="30" hidden="1" customHeight="1" thickBot="1" x14ac:dyDescent="0.3">
      <c r="B205" s="263">
        <v>42193</v>
      </c>
      <c r="C205" s="235" t="s">
        <v>388</v>
      </c>
      <c r="D205" s="261">
        <v>730</v>
      </c>
      <c r="E205" s="260">
        <v>1</v>
      </c>
      <c r="F205" s="261">
        <f t="shared" si="3"/>
        <v>730</v>
      </c>
      <c r="G205" s="106" t="s">
        <v>515</v>
      </c>
      <c r="H205" s="658"/>
      <c r="I205" s="676"/>
    </row>
    <row r="206" spans="2:9" ht="30" hidden="1" customHeight="1" x14ac:dyDescent="0.25">
      <c r="B206" s="263">
        <v>42193</v>
      </c>
      <c r="C206" s="235" t="s">
        <v>388</v>
      </c>
      <c r="D206" s="261">
        <v>350</v>
      </c>
      <c r="E206" s="260">
        <v>2</v>
      </c>
      <c r="F206" s="261">
        <f t="shared" si="3"/>
        <v>700</v>
      </c>
      <c r="G206" s="106" t="s">
        <v>516</v>
      </c>
      <c r="H206" s="658"/>
      <c r="I206" s="676"/>
    </row>
    <row r="207" spans="2:9" ht="30" hidden="1" customHeight="1" thickBot="1" x14ac:dyDescent="0.3">
      <c r="B207" s="265"/>
      <c r="C207" s="243"/>
      <c r="D207" s="254"/>
      <c r="E207" s="251"/>
      <c r="F207" s="245"/>
      <c r="G207" s="246"/>
      <c r="H207" s="667"/>
      <c r="I207" s="677"/>
    </row>
    <row r="208" spans="2:9" ht="30" hidden="1" customHeight="1" thickBot="1" x14ac:dyDescent="0.3">
      <c r="B208" s="278">
        <v>42194</v>
      </c>
      <c r="C208" s="235" t="s">
        <v>180</v>
      </c>
      <c r="D208" s="200">
        <v>1545</v>
      </c>
      <c r="E208" s="201">
        <v>1</v>
      </c>
      <c r="F208" s="200">
        <f t="shared" si="3"/>
        <v>1545</v>
      </c>
      <c r="G208" s="181" t="s">
        <v>517</v>
      </c>
      <c r="H208" s="671" t="s">
        <v>494</v>
      </c>
      <c r="I208" s="675" t="s">
        <v>67</v>
      </c>
    </row>
    <row r="209" spans="2:9" ht="28.5" hidden="1" customHeight="1" thickBot="1" x14ac:dyDescent="0.3">
      <c r="B209" s="263">
        <v>42198</v>
      </c>
      <c r="C209" s="235" t="s">
        <v>180</v>
      </c>
      <c r="D209" s="261">
        <v>3198</v>
      </c>
      <c r="E209" s="260">
        <v>1</v>
      </c>
      <c r="F209" s="261">
        <f t="shared" si="3"/>
        <v>3198</v>
      </c>
      <c r="G209" s="106" t="s">
        <v>518</v>
      </c>
      <c r="H209" s="658"/>
      <c r="I209" s="676"/>
    </row>
    <row r="210" spans="2:9" ht="30.75" hidden="1" customHeight="1" x14ac:dyDescent="0.25">
      <c r="B210" s="263">
        <v>42199</v>
      </c>
      <c r="C210" s="235" t="s">
        <v>180</v>
      </c>
      <c r="D210" s="261">
        <v>600</v>
      </c>
      <c r="E210" s="260">
        <v>1</v>
      </c>
      <c r="F210" s="261">
        <f t="shared" si="3"/>
        <v>600</v>
      </c>
      <c r="G210" s="106" t="s">
        <v>519</v>
      </c>
      <c r="H210" s="658"/>
      <c r="I210" s="676"/>
    </row>
    <row r="211" spans="2:9" ht="30.75" hidden="1" customHeight="1" thickBot="1" x14ac:dyDescent="0.3">
      <c r="B211" s="265"/>
      <c r="C211" s="250"/>
      <c r="D211" s="254"/>
      <c r="E211" s="251"/>
      <c r="F211" s="245"/>
      <c r="G211" s="246"/>
      <c r="H211" s="667"/>
      <c r="I211" s="677"/>
    </row>
    <row r="212" spans="2:9" ht="30.75" hidden="1" thickBot="1" x14ac:dyDescent="0.3">
      <c r="B212" s="253">
        <v>42199</v>
      </c>
      <c r="C212" s="248" t="s">
        <v>385</v>
      </c>
      <c r="D212" s="203">
        <v>140</v>
      </c>
      <c r="E212" s="204">
        <v>1</v>
      </c>
      <c r="F212" s="203">
        <f>D212*E212</f>
        <v>140</v>
      </c>
      <c r="G212" s="205" t="s">
        <v>520</v>
      </c>
      <c r="H212" s="206" t="s">
        <v>521</v>
      </c>
      <c r="I212" s="249" t="s">
        <v>261</v>
      </c>
    </row>
    <row r="213" spans="2:9" ht="15" hidden="1" customHeight="1" thickBot="1" x14ac:dyDescent="0.3">
      <c r="B213" s="684">
        <v>42199</v>
      </c>
      <c r="C213" s="235" t="s">
        <v>388</v>
      </c>
      <c r="D213" s="200">
        <v>130</v>
      </c>
      <c r="E213" s="201">
        <v>3</v>
      </c>
      <c r="F213" s="200">
        <f t="shared" si="3"/>
        <v>390</v>
      </c>
      <c r="G213" s="181" t="s">
        <v>522</v>
      </c>
      <c r="H213" s="690" t="s">
        <v>523</v>
      </c>
      <c r="I213" s="675">
        <v>90</v>
      </c>
    </row>
    <row r="214" spans="2:9" ht="15.75" hidden="1" thickBot="1" x14ac:dyDescent="0.3">
      <c r="B214" s="685"/>
      <c r="C214" s="235" t="s">
        <v>388</v>
      </c>
      <c r="D214" s="261">
        <v>5.4</v>
      </c>
      <c r="E214" s="260">
        <v>80</v>
      </c>
      <c r="F214" s="261">
        <f t="shared" si="3"/>
        <v>432</v>
      </c>
      <c r="G214" s="106" t="s">
        <v>524</v>
      </c>
      <c r="H214" s="691"/>
      <c r="I214" s="676"/>
    </row>
    <row r="215" spans="2:9" ht="15.75" hidden="1" thickBot="1" x14ac:dyDescent="0.3">
      <c r="B215" s="685"/>
      <c r="C215" s="235" t="s">
        <v>388</v>
      </c>
      <c r="D215" s="261">
        <v>40</v>
      </c>
      <c r="E215" s="260">
        <v>5</v>
      </c>
      <c r="F215" s="261">
        <f t="shared" si="3"/>
        <v>200</v>
      </c>
      <c r="G215" s="106" t="s">
        <v>525</v>
      </c>
      <c r="H215" s="691"/>
      <c r="I215" s="676"/>
    </row>
    <row r="216" spans="2:9" ht="15" hidden="1" customHeight="1" thickBot="1" x14ac:dyDescent="0.3">
      <c r="B216" s="685">
        <v>42199</v>
      </c>
      <c r="C216" s="235" t="s">
        <v>388</v>
      </c>
      <c r="D216" s="261">
        <v>392.5</v>
      </c>
      <c r="E216" s="260">
        <v>2</v>
      </c>
      <c r="F216" s="261">
        <f t="shared" si="3"/>
        <v>785</v>
      </c>
      <c r="G216" s="106" t="s">
        <v>526</v>
      </c>
      <c r="H216" s="691"/>
      <c r="I216" s="676"/>
    </row>
    <row r="217" spans="2:9" ht="15.75" hidden="1" thickBot="1" x14ac:dyDescent="0.3">
      <c r="B217" s="685"/>
      <c r="C217" s="235" t="s">
        <v>388</v>
      </c>
      <c r="D217" s="261">
        <v>350</v>
      </c>
      <c r="E217" s="260">
        <v>1</v>
      </c>
      <c r="F217" s="261">
        <v>350</v>
      </c>
      <c r="G217" s="106" t="s">
        <v>527</v>
      </c>
      <c r="H217" s="691"/>
      <c r="I217" s="676"/>
    </row>
    <row r="218" spans="2:9" ht="15.75" hidden="1" thickBot="1" x14ac:dyDescent="0.3">
      <c r="B218" s="685"/>
      <c r="C218" s="235" t="s">
        <v>388</v>
      </c>
      <c r="D218" s="261">
        <v>350</v>
      </c>
      <c r="E218" s="260">
        <v>1</v>
      </c>
      <c r="F218" s="261">
        <v>350</v>
      </c>
      <c r="G218" s="106" t="s">
        <v>528</v>
      </c>
      <c r="H218" s="691"/>
      <c r="I218" s="676"/>
    </row>
    <row r="219" spans="2:9" ht="15" hidden="1" customHeight="1" thickBot="1" x14ac:dyDescent="0.3">
      <c r="B219" s="685">
        <v>42199</v>
      </c>
      <c r="C219" s="235" t="s">
        <v>388</v>
      </c>
      <c r="D219" s="261">
        <v>18</v>
      </c>
      <c r="E219" s="260">
        <v>4</v>
      </c>
      <c r="F219" s="261">
        <f>D219*E219</f>
        <v>72</v>
      </c>
      <c r="G219" s="106" t="s">
        <v>529</v>
      </c>
      <c r="H219" s="691"/>
      <c r="I219" s="676"/>
    </row>
    <row r="220" spans="2:9" ht="15.75" hidden="1" thickBot="1" x14ac:dyDescent="0.3">
      <c r="B220" s="685"/>
      <c r="C220" s="235" t="s">
        <v>388</v>
      </c>
      <c r="D220" s="261">
        <v>9</v>
      </c>
      <c r="E220" s="260">
        <v>4</v>
      </c>
      <c r="F220" s="261">
        <f>D220*E220</f>
        <v>36</v>
      </c>
      <c r="G220" s="106" t="s">
        <v>530</v>
      </c>
      <c r="H220" s="691"/>
      <c r="I220" s="676"/>
    </row>
    <row r="221" spans="2:9" ht="15.75" hidden="1" thickBot="1" x14ac:dyDescent="0.3">
      <c r="B221" s="685"/>
      <c r="C221" s="235" t="s">
        <v>388</v>
      </c>
      <c r="D221" s="261">
        <v>144</v>
      </c>
      <c r="E221" s="260">
        <v>4</v>
      </c>
      <c r="F221" s="261">
        <f>D221*E221</f>
        <v>576</v>
      </c>
      <c r="G221" s="106" t="s">
        <v>531</v>
      </c>
      <c r="H221" s="691"/>
      <c r="I221" s="676"/>
    </row>
    <row r="222" spans="2:9" ht="15.75" hidden="1" thickBot="1" x14ac:dyDescent="0.3">
      <c r="B222" s="265"/>
      <c r="C222" s="250"/>
      <c r="D222" s="254"/>
      <c r="E222" s="251"/>
      <c r="F222" s="245"/>
      <c r="G222" s="246"/>
      <c r="H222" s="692"/>
      <c r="I222" s="677"/>
    </row>
    <row r="223" spans="2:9" ht="30" customHeight="1" thickBot="1" x14ac:dyDescent="0.3">
      <c r="B223" s="278">
        <v>42202</v>
      </c>
      <c r="C223" s="235" t="s">
        <v>383</v>
      </c>
      <c r="D223" s="200">
        <v>142.19</v>
      </c>
      <c r="E223" s="201">
        <v>5</v>
      </c>
      <c r="F223" s="200">
        <f>D223*E223</f>
        <v>710.95</v>
      </c>
      <c r="G223" s="181" t="s">
        <v>532</v>
      </c>
      <c r="H223" s="671" t="s">
        <v>533</v>
      </c>
      <c r="I223" s="279">
        <v>88</v>
      </c>
    </row>
    <row r="224" spans="2:9" ht="30" customHeight="1" thickBot="1" x14ac:dyDescent="0.3">
      <c r="B224" s="263">
        <v>42205</v>
      </c>
      <c r="C224" s="235" t="s">
        <v>383</v>
      </c>
      <c r="D224" s="261">
        <v>68</v>
      </c>
      <c r="E224" s="260">
        <v>1</v>
      </c>
      <c r="F224" s="261">
        <f>D224*E224</f>
        <v>68</v>
      </c>
      <c r="G224" s="106" t="s">
        <v>534</v>
      </c>
      <c r="H224" s="658"/>
      <c r="I224" s="264">
        <v>90</v>
      </c>
    </row>
    <row r="225" spans="2:9" ht="15.75" hidden="1" thickBot="1" x14ac:dyDescent="0.3">
      <c r="B225" s="265"/>
      <c r="C225" s="250"/>
      <c r="D225" s="254"/>
      <c r="E225" s="251"/>
      <c r="F225" s="245"/>
      <c r="G225" s="246"/>
      <c r="H225" s="667"/>
      <c r="I225" s="266"/>
    </row>
    <row r="226" spans="2:9" ht="15.75" hidden="1" thickBot="1" x14ac:dyDescent="0.3">
      <c r="B226" s="278">
        <v>42222</v>
      </c>
      <c r="C226" s="235" t="s">
        <v>388</v>
      </c>
      <c r="D226" s="200">
        <v>45</v>
      </c>
      <c r="E226" s="201">
        <v>1</v>
      </c>
      <c r="F226" s="200">
        <f t="shared" ref="F226:F274" si="4">D226*E226</f>
        <v>45</v>
      </c>
      <c r="G226" s="181" t="s">
        <v>535</v>
      </c>
      <c r="H226" s="671" t="s">
        <v>536</v>
      </c>
      <c r="I226" s="675">
        <v>88</v>
      </c>
    </row>
    <row r="227" spans="2:9" ht="15" hidden="1" customHeight="1" thickBot="1" x14ac:dyDescent="0.3">
      <c r="B227" s="685">
        <v>42222</v>
      </c>
      <c r="C227" s="235" t="s">
        <v>388</v>
      </c>
      <c r="D227" s="261">
        <v>162</v>
      </c>
      <c r="E227" s="260">
        <v>2</v>
      </c>
      <c r="F227" s="261">
        <f t="shared" si="4"/>
        <v>324</v>
      </c>
      <c r="G227" s="106" t="s">
        <v>537</v>
      </c>
      <c r="H227" s="658"/>
      <c r="I227" s="676"/>
    </row>
    <row r="228" spans="2:9" ht="15.75" hidden="1" thickBot="1" x14ac:dyDescent="0.3">
      <c r="B228" s="685"/>
      <c r="C228" s="235" t="s">
        <v>388</v>
      </c>
      <c r="D228" s="261">
        <v>45</v>
      </c>
      <c r="E228" s="260">
        <v>4</v>
      </c>
      <c r="F228" s="261">
        <f t="shared" si="4"/>
        <v>180</v>
      </c>
      <c r="G228" s="106" t="s">
        <v>535</v>
      </c>
      <c r="H228" s="658"/>
      <c r="I228" s="676"/>
    </row>
    <row r="229" spans="2:9" ht="15.75" hidden="1" thickBot="1" x14ac:dyDescent="0.3">
      <c r="B229" s="685"/>
      <c r="C229" s="235" t="s">
        <v>388</v>
      </c>
      <c r="D229" s="261">
        <v>135</v>
      </c>
      <c r="E229" s="260">
        <v>4</v>
      </c>
      <c r="F229" s="261">
        <f t="shared" si="4"/>
        <v>540</v>
      </c>
      <c r="G229" s="106" t="s">
        <v>538</v>
      </c>
      <c r="H229" s="658"/>
      <c r="I229" s="676"/>
    </row>
    <row r="230" spans="2:9" ht="15.75" hidden="1" thickBot="1" x14ac:dyDescent="0.3">
      <c r="B230" s="265"/>
      <c r="C230" s="250"/>
      <c r="D230" s="254"/>
      <c r="E230" s="251"/>
      <c r="F230" s="245"/>
      <c r="G230" s="246"/>
      <c r="H230" s="667"/>
      <c r="I230" s="677"/>
    </row>
    <row r="231" spans="2:9" ht="15.75" thickBot="1" x14ac:dyDescent="0.3">
      <c r="B231" s="684">
        <v>42243</v>
      </c>
      <c r="C231" s="235" t="s">
        <v>367</v>
      </c>
      <c r="D231" s="200">
        <v>200</v>
      </c>
      <c r="E231" s="201">
        <v>1</v>
      </c>
      <c r="F231" s="200">
        <f t="shared" si="4"/>
        <v>200</v>
      </c>
      <c r="G231" s="181" t="s">
        <v>539</v>
      </c>
      <c r="H231" s="671" t="s">
        <v>193</v>
      </c>
      <c r="I231" s="675">
        <v>92</v>
      </c>
    </row>
    <row r="232" spans="2:9" ht="15.75" thickBot="1" x14ac:dyDescent="0.3">
      <c r="B232" s="685"/>
      <c r="C232" s="235" t="s">
        <v>367</v>
      </c>
      <c r="D232" s="261">
        <v>6</v>
      </c>
      <c r="E232" s="260">
        <v>2</v>
      </c>
      <c r="F232" s="261">
        <f t="shared" si="4"/>
        <v>12</v>
      </c>
      <c r="G232" s="106" t="s">
        <v>540</v>
      </c>
      <c r="H232" s="658"/>
      <c r="I232" s="676"/>
    </row>
    <row r="233" spans="2:9" ht="15.75" hidden="1" thickBot="1" x14ac:dyDescent="0.3">
      <c r="B233" s="265"/>
      <c r="C233" s="250"/>
      <c r="D233" s="254"/>
      <c r="E233" s="251"/>
      <c r="F233" s="245"/>
      <c r="G233" s="246"/>
      <c r="H233" s="667"/>
      <c r="I233" s="677"/>
    </row>
    <row r="234" spans="2:9" ht="15.75" hidden="1" thickBot="1" x14ac:dyDescent="0.3">
      <c r="B234" s="253">
        <v>42255</v>
      </c>
      <c r="C234" s="248" t="s">
        <v>385</v>
      </c>
      <c r="D234" s="203">
        <v>62.4</v>
      </c>
      <c r="E234" s="204">
        <v>3</v>
      </c>
      <c r="F234" s="203">
        <f t="shared" si="4"/>
        <v>187.2</v>
      </c>
      <c r="G234" s="205" t="s">
        <v>439</v>
      </c>
      <c r="H234" s="207" t="s">
        <v>541</v>
      </c>
      <c r="I234" s="249" t="s">
        <v>245</v>
      </c>
    </row>
    <row r="235" spans="2:9" ht="15.75" thickBot="1" x14ac:dyDescent="0.3">
      <c r="B235" s="672">
        <v>42255</v>
      </c>
      <c r="C235" s="235" t="s">
        <v>367</v>
      </c>
      <c r="D235" s="200">
        <v>15</v>
      </c>
      <c r="E235" s="201">
        <v>2</v>
      </c>
      <c r="F235" s="200">
        <f t="shared" si="4"/>
        <v>30</v>
      </c>
      <c r="G235" s="181" t="s">
        <v>542</v>
      </c>
      <c r="H235" s="671" t="s">
        <v>194</v>
      </c>
      <c r="I235" s="675">
        <v>92</v>
      </c>
    </row>
    <row r="236" spans="2:9" ht="15.75" thickBot="1" x14ac:dyDescent="0.3">
      <c r="B236" s="673"/>
      <c r="C236" s="235" t="s">
        <v>367</v>
      </c>
      <c r="D236" s="261">
        <v>15</v>
      </c>
      <c r="E236" s="260">
        <v>2</v>
      </c>
      <c r="F236" s="195">
        <f t="shared" si="4"/>
        <v>30</v>
      </c>
      <c r="G236" s="185" t="s">
        <v>543</v>
      </c>
      <c r="H236" s="658"/>
      <c r="I236" s="676"/>
    </row>
    <row r="237" spans="2:9" ht="15.75" thickBot="1" x14ac:dyDescent="0.3">
      <c r="B237" s="673"/>
      <c r="C237" s="235" t="s">
        <v>367</v>
      </c>
      <c r="D237" s="261">
        <v>40</v>
      </c>
      <c r="E237" s="260">
        <v>1</v>
      </c>
      <c r="F237" s="195">
        <f t="shared" si="4"/>
        <v>40</v>
      </c>
      <c r="G237" s="106" t="s">
        <v>544</v>
      </c>
      <c r="H237" s="658"/>
      <c r="I237" s="676"/>
    </row>
    <row r="238" spans="2:9" ht="15.75" thickBot="1" x14ac:dyDescent="0.3">
      <c r="B238" s="673"/>
      <c r="C238" s="235" t="s">
        <v>367</v>
      </c>
      <c r="D238" s="217">
        <v>15</v>
      </c>
      <c r="E238" s="216">
        <v>1</v>
      </c>
      <c r="F238" s="261">
        <f t="shared" si="4"/>
        <v>15</v>
      </c>
      <c r="G238" s="213" t="s">
        <v>545</v>
      </c>
      <c r="H238" s="658"/>
      <c r="I238" s="676"/>
    </row>
    <row r="239" spans="2:9" ht="15.75" hidden="1" thickBot="1" x14ac:dyDescent="0.3">
      <c r="B239" s="674"/>
      <c r="C239" s="250"/>
      <c r="D239" s="254"/>
      <c r="E239" s="251"/>
      <c r="F239" s="262"/>
      <c r="G239" s="246"/>
      <c r="H239" s="667"/>
      <c r="I239" s="677"/>
    </row>
    <row r="240" spans="2:9" ht="15" hidden="1" customHeight="1" thickBot="1" x14ac:dyDescent="0.3">
      <c r="B240" s="672">
        <v>42261</v>
      </c>
      <c r="C240" s="235" t="s">
        <v>388</v>
      </c>
      <c r="D240" s="200">
        <v>45</v>
      </c>
      <c r="E240" s="201">
        <v>1</v>
      </c>
      <c r="F240" s="200">
        <f t="shared" si="4"/>
        <v>45</v>
      </c>
      <c r="G240" s="181" t="s">
        <v>546</v>
      </c>
      <c r="H240" s="671" t="s">
        <v>547</v>
      </c>
      <c r="I240" s="675" t="s">
        <v>548</v>
      </c>
    </row>
    <row r="241" spans="1:10" ht="15.75" hidden="1" thickBot="1" x14ac:dyDescent="0.3">
      <c r="B241" s="673"/>
      <c r="C241" s="235" t="s">
        <v>388</v>
      </c>
      <c r="D241" s="261">
        <v>200</v>
      </c>
      <c r="E241" s="260">
        <v>1</v>
      </c>
      <c r="F241" s="261">
        <f t="shared" si="4"/>
        <v>200</v>
      </c>
      <c r="G241" s="106" t="s">
        <v>549</v>
      </c>
      <c r="H241" s="658"/>
      <c r="I241" s="676"/>
    </row>
    <row r="242" spans="1:10" ht="15.75" hidden="1" thickBot="1" x14ac:dyDescent="0.3">
      <c r="B242" s="673"/>
      <c r="C242" s="235" t="s">
        <v>388</v>
      </c>
      <c r="D242" s="261">
        <v>20</v>
      </c>
      <c r="E242" s="260">
        <v>1</v>
      </c>
      <c r="F242" s="261">
        <f t="shared" si="4"/>
        <v>20</v>
      </c>
      <c r="G242" s="106" t="s">
        <v>529</v>
      </c>
      <c r="H242" s="658"/>
      <c r="I242" s="676"/>
    </row>
    <row r="243" spans="1:10" s="286" customFormat="1" ht="15.75" hidden="1" thickBot="1" x14ac:dyDescent="0.3">
      <c r="A243" s="282"/>
      <c r="B243" s="673"/>
      <c r="C243" s="235" t="s">
        <v>388</v>
      </c>
      <c r="D243" s="283">
        <v>40</v>
      </c>
      <c r="E243" s="284">
        <v>3</v>
      </c>
      <c r="F243" s="283">
        <f t="shared" si="4"/>
        <v>120</v>
      </c>
      <c r="G243" s="285" t="s">
        <v>550</v>
      </c>
      <c r="H243" s="658"/>
      <c r="I243" s="676"/>
      <c r="J243" s="683"/>
    </row>
    <row r="244" spans="1:10" s="286" customFormat="1" ht="15.75" hidden="1" thickBot="1" x14ac:dyDescent="0.3">
      <c r="A244" s="282"/>
      <c r="B244" s="673"/>
      <c r="C244" s="235" t="s">
        <v>388</v>
      </c>
      <c r="D244" s="283">
        <v>20</v>
      </c>
      <c r="E244" s="284">
        <v>2</v>
      </c>
      <c r="F244" s="283">
        <f t="shared" si="4"/>
        <v>40</v>
      </c>
      <c r="G244" s="285" t="s">
        <v>551</v>
      </c>
      <c r="H244" s="658"/>
      <c r="I244" s="676"/>
      <c r="J244" s="683"/>
    </row>
    <row r="245" spans="1:10" ht="15.75" hidden="1" thickBot="1" x14ac:dyDescent="0.3">
      <c r="B245" s="673"/>
      <c r="C245" s="235" t="s">
        <v>388</v>
      </c>
      <c r="D245" s="261">
        <v>220</v>
      </c>
      <c r="E245" s="260">
        <v>1</v>
      </c>
      <c r="F245" s="261">
        <f t="shared" si="4"/>
        <v>220</v>
      </c>
      <c r="G245" s="106" t="s">
        <v>552</v>
      </c>
      <c r="H245" s="658"/>
      <c r="I245" s="676"/>
    </row>
    <row r="246" spans="1:10" ht="15.75" hidden="1" thickBot="1" x14ac:dyDescent="0.3">
      <c r="B246" s="674"/>
      <c r="C246" s="250"/>
      <c r="D246" s="254"/>
      <c r="E246" s="251"/>
      <c r="F246" s="245"/>
      <c r="G246" s="246"/>
      <c r="H246" s="667"/>
      <c r="I246" s="677"/>
    </row>
    <row r="247" spans="1:10" ht="15.75" thickBot="1" x14ac:dyDescent="0.3">
      <c r="B247" s="253">
        <v>42262</v>
      </c>
      <c r="C247" s="248" t="s">
        <v>367</v>
      </c>
      <c r="D247" s="203">
        <v>1.8</v>
      </c>
      <c r="E247" s="204">
        <v>160</v>
      </c>
      <c r="F247" s="203">
        <f t="shared" si="4"/>
        <v>288</v>
      </c>
      <c r="G247" s="205" t="s">
        <v>553</v>
      </c>
      <c r="H247" s="206" t="s">
        <v>554</v>
      </c>
      <c r="I247" s="249">
        <v>88</v>
      </c>
    </row>
    <row r="248" spans="1:10" ht="15" hidden="1" customHeight="1" thickBot="1" x14ac:dyDescent="0.3">
      <c r="B248" s="684">
        <v>42264</v>
      </c>
      <c r="C248" s="235" t="s">
        <v>388</v>
      </c>
      <c r="D248" s="200">
        <v>45</v>
      </c>
      <c r="E248" s="201">
        <v>1</v>
      </c>
      <c r="F248" s="200">
        <f t="shared" si="4"/>
        <v>45</v>
      </c>
      <c r="G248" s="181" t="s">
        <v>555</v>
      </c>
      <c r="H248" s="671" t="s">
        <v>214</v>
      </c>
      <c r="I248" s="675">
        <v>92</v>
      </c>
    </row>
    <row r="249" spans="1:10" ht="15.75" hidden="1" thickBot="1" x14ac:dyDescent="0.3">
      <c r="B249" s="685"/>
      <c r="C249" s="235" t="s">
        <v>388</v>
      </c>
      <c r="D249" s="261">
        <v>12</v>
      </c>
      <c r="E249" s="260">
        <v>4</v>
      </c>
      <c r="F249" s="261">
        <f t="shared" si="4"/>
        <v>48</v>
      </c>
      <c r="G249" s="106" t="s">
        <v>556</v>
      </c>
      <c r="H249" s="658"/>
      <c r="I249" s="676"/>
    </row>
    <row r="250" spans="1:10" ht="15.75" hidden="1" thickBot="1" x14ac:dyDescent="0.3">
      <c r="B250" s="685"/>
      <c r="C250" s="235" t="s">
        <v>388</v>
      </c>
      <c r="D250" s="261">
        <v>8</v>
      </c>
      <c r="E250" s="260">
        <v>2</v>
      </c>
      <c r="F250" s="261">
        <f t="shared" si="4"/>
        <v>16</v>
      </c>
      <c r="G250" s="106" t="s">
        <v>557</v>
      </c>
      <c r="H250" s="658"/>
      <c r="I250" s="676"/>
    </row>
    <row r="251" spans="1:10" ht="18.75" hidden="1" customHeight="1" thickBot="1" x14ac:dyDescent="0.3">
      <c r="B251" s="685"/>
      <c r="C251" s="235" t="s">
        <v>388</v>
      </c>
      <c r="D251" s="261">
        <v>150</v>
      </c>
      <c r="E251" s="260">
        <v>1</v>
      </c>
      <c r="F251" s="261">
        <f t="shared" si="4"/>
        <v>150</v>
      </c>
      <c r="G251" s="106" t="s">
        <v>558</v>
      </c>
      <c r="H251" s="658"/>
      <c r="I251" s="676"/>
    </row>
    <row r="252" spans="1:10" ht="19.5" hidden="1" customHeight="1" thickBot="1" x14ac:dyDescent="0.3">
      <c r="B252" s="685"/>
      <c r="C252" s="235" t="s">
        <v>388</v>
      </c>
      <c r="D252" s="261">
        <v>150</v>
      </c>
      <c r="E252" s="260">
        <v>3</v>
      </c>
      <c r="F252" s="261">
        <f t="shared" si="4"/>
        <v>450</v>
      </c>
      <c r="G252" s="106" t="s">
        <v>559</v>
      </c>
      <c r="H252" s="658"/>
      <c r="I252" s="676"/>
    </row>
    <row r="253" spans="1:10" ht="15.75" hidden="1" thickBot="1" x14ac:dyDescent="0.3">
      <c r="B253" s="685"/>
      <c r="C253" s="235" t="s">
        <v>388</v>
      </c>
      <c r="D253" s="261">
        <v>10</v>
      </c>
      <c r="E253" s="260">
        <v>6</v>
      </c>
      <c r="F253" s="261">
        <f t="shared" si="4"/>
        <v>60</v>
      </c>
      <c r="G253" s="285" t="s">
        <v>560</v>
      </c>
      <c r="H253" s="658"/>
      <c r="I253" s="676"/>
    </row>
    <row r="254" spans="1:10" ht="15.75" hidden="1" thickBot="1" x14ac:dyDescent="0.3">
      <c r="B254" s="685"/>
      <c r="C254" s="235" t="s">
        <v>388</v>
      </c>
      <c r="D254" s="261">
        <v>40</v>
      </c>
      <c r="E254" s="260">
        <v>4</v>
      </c>
      <c r="F254" s="261">
        <f t="shared" si="4"/>
        <v>160</v>
      </c>
      <c r="G254" s="106" t="s">
        <v>561</v>
      </c>
      <c r="H254" s="658"/>
      <c r="I254" s="676"/>
    </row>
    <row r="255" spans="1:10" ht="15.75" hidden="1" thickBot="1" x14ac:dyDescent="0.3">
      <c r="B255" s="685"/>
      <c r="C255" s="235" t="s">
        <v>388</v>
      </c>
      <c r="D255" s="261">
        <v>35</v>
      </c>
      <c r="E255" s="260">
        <v>1</v>
      </c>
      <c r="F255" s="261">
        <f t="shared" si="4"/>
        <v>35</v>
      </c>
      <c r="G255" s="106" t="s">
        <v>562</v>
      </c>
      <c r="H255" s="658"/>
      <c r="I255" s="676"/>
    </row>
    <row r="256" spans="1:10" ht="15.75" hidden="1" thickBot="1" x14ac:dyDescent="0.3">
      <c r="B256" s="686"/>
      <c r="C256" s="250"/>
      <c r="D256" s="254"/>
      <c r="E256" s="251"/>
      <c r="F256" s="245"/>
      <c r="G256" s="246"/>
      <c r="H256" s="667"/>
      <c r="I256" s="677"/>
    </row>
    <row r="257" spans="1:9" ht="30" hidden="1" customHeight="1" thickBot="1" x14ac:dyDescent="0.3">
      <c r="B257" s="672">
        <v>42268</v>
      </c>
      <c r="C257" s="235" t="s">
        <v>388</v>
      </c>
      <c r="D257" s="200">
        <v>1447.5</v>
      </c>
      <c r="E257" s="201">
        <v>2</v>
      </c>
      <c r="F257" s="200">
        <f t="shared" si="4"/>
        <v>2895</v>
      </c>
      <c r="G257" s="181" t="s">
        <v>563</v>
      </c>
      <c r="H257" s="671" t="s">
        <v>215</v>
      </c>
      <c r="I257" s="687">
        <v>92</v>
      </c>
    </row>
    <row r="258" spans="1:9" ht="44.25" hidden="1" customHeight="1" x14ac:dyDescent="0.25">
      <c r="B258" s="673"/>
      <c r="C258" s="235" t="s">
        <v>388</v>
      </c>
      <c r="D258" s="217">
        <v>6.5</v>
      </c>
      <c r="E258" s="216">
        <v>4</v>
      </c>
      <c r="F258" s="217">
        <f t="shared" si="4"/>
        <v>26</v>
      </c>
      <c r="G258" s="213" t="s">
        <v>564</v>
      </c>
      <c r="H258" s="658"/>
      <c r="I258" s="688"/>
    </row>
    <row r="259" spans="1:9" ht="20.25" hidden="1" customHeight="1" thickBot="1" x14ac:dyDescent="0.3">
      <c r="B259" s="674"/>
      <c r="C259" s="250"/>
      <c r="D259" s="254"/>
      <c r="E259" s="251"/>
      <c r="F259" s="245"/>
      <c r="G259" s="246"/>
      <c r="H259" s="667"/>
      <c r="I259" s="689"/>
    </row>
    <row r="260" spans="1:9" s="294" customFormat="1" ht="27.75" hidden="1" customHeight="1" thickBot="1" x14ac:dyDescent="0.3">
      <c r="A260" s="287"/>
      <c r="B260" s="288"/>
      <c r="C260" s="289"/>
      <c r="D260" s="290"/>
      <c r="E260" s="291"/>
      <c r="F260" s="290"/>
      <c r="G260" s="292"/>
      <c r="H260" s="292"/>
      <c r="I260" s="293"/>
    </row>
    <row r="261" spans="1:9" ht="30.75" thickBot="1" x14ac:dyDescent="0.3">
      <c r="B261" s="253">
        <v>42282</v>
      </c>
      <c r="C261" s="248" t="s">
        <v>367</v>
      </c>
      <c r="D261" s="203">
        <v>220</v>
      </c>
      <c r="E261" s="204">
        <v>1</v>
      </c>
      <c r="F261" s="203">
        <f t="shared" si="4"/>
        <v>220</v>
      </c>
      <c r="G261" s="205" t="s">
        <v>565</v>
      </c>
      <c r="H261" s="207" t="s">
        <v>566</v>
      </c>
      <c r="I261" s="249">
        <v>88</v>
      </c>
    </row>
    <row r="262" spans="1:9" ht="30.75" hidden="1" thickBot="1" x14ac:dyDescent="0.3">
      <c r="B262" s="295">
        <v>42290</v>
      </c>
      <c r="C262" s="296" t="s">
        <v>388</v>
      </c>
      <c r="D262" s="297">
        <v>220</v>
      </c>
      <c r="E262" s="298">
        <v>1</v>
      </c>
      <c r="F262" s="297">
        <f t="shared" si="4"/>
        <v>220</v>
      </c>
      <c r="G262" s="299" t="s">
        <v>567</v>
      </c>
      <c r="H262" s="299" t="s">
        <v>568</v>
      </c>
      <c r="I262" s="300" t="s">
        <v>67</v>
      </c>
    </row>
    <row r="263" spans="1:9" ht="15" hidden="1" customHeight="1" thickBot="1" x14ac:dyDescent="0.3">
      <c r="B263" s="672">
        <v>42325</v>
      </c>
      <c r="C263" s="235" t="s">
        <v>388</v>
      </c>
      <c r="D263" s="200">
        <v>55</v>
      </c>
      <c r="E263" s="201">
        <v>10</v>
      </c>
      <c r="F263" s="200">
        <f t="shared" si="4"/>
        <v>550</v>
      </c>
      <c r="G263" s="181" t="s">
        <v>569</v>
      </c>
      <c r="H263" s="671" t="s">
        <v>216</v>
      </c>
      <c r="I263" s="680">
        <v>88</v>
      </c>
    </row>
    <row r="264" spans="1:9" hidden="1" x14ac:dyDescent="0.25">
      <c r="B264" s="673"/>
      <c r="C264" s="235" t="s">
        <v>388</v>
      </c>
      <c r="D264" s="261">
        <v>150</v>
      </c>
      <c r="E264" s="260">
        <v>2</v>
      </c>
      <c r="F264" s="261">
        <f t="shared" si="4"/>
        <v>300</v>
      </c>
      <c r="G264" s="106" t="s">
        <v>570</v>
      </c>
      <c r="H264" s="658"/>
      <c r="I264" s="681"/>
    </row>
    <row r="265" spans="1:9" hidden="1" x14ac:dyDescent="0.25">
      <c r="B265" s="673"/>
      <c r="C265" s="235" t="s">
        <v>388</v>
      </c>
      <c r="D265" s="261">
        <v>90</v>
      </c>
      <c r="E265" s="260">
        <v>2</v>
      </c>
      <c r="F265" s="261">
        <f t="shared" si="4"/>
        <v>180</v>
      </c>
      <c r="G265" s="106" t="s">
        <v>571</v>
      </c>
      <c r="H265" s="658"/>
      <c r="I265" s="681"/>
    </row>
    <row r="266" spans="1:9" hidden="1" x14ac:dyDescent="0.25">
      <c r="B266" s="673"/>
      <c r="C266" s="235" t="s">
        <v>388</v>
      </c>
      <c r="D266" s="261">
        <v>90</v>
      </c>
      <c r="E266" s="260">
        <v>2</v>
      </c>
      <c r="F266" s="261">
        <f t="shared" si="4"/>
        <v>180</v>
      </c>
      <c r="G266" s="106" t="s">
        <v>572</v>
      </c>
      <c r="H266" s="658"/>
      <c r="I266" s="681"/>
    </row>
    <row r="267" spans="1:9" ht="15.75" hidden="1" thickBot="1" x14ac:dyDescent="0.3">
      <c r="B267" s="674"/>
      <c r="C267" s="250"/>
      <c r="D267" s="254"/>
      <c r="E267" s="251"/>
      <c r="F267" s="245"/>
      <c r="G267" s="246"/>
      <c r="H267" s="667"/>
      <c r="I267" s="682"/>
    </row>
    <row r="268" spans="1:9" ht="30" hidden="1" x14ac:dyDescent="0.25">
      <c r="B268" s="278">
        <v>42325</v>
      </c>
      <c r="C268" s="235" t="s">
        <v>180</v>
      </c>
      <c r="D268" s="200">
        <v>1100</v>
      </c>
      <c r="E268" s="201">
        <v>1</v>
      </c>
      <c r="F268" s="200">
        <f t="shared" si="4"/>
        <v>1100</v>
      </c>
      <c r="G268" s="181" t="s">
        <v>573</v>
      </c>
      <c r="H268" s="181" t="s">
        <v>574</v>
      </c>
      <c r="I268" s="301" t="s">
        <v>261</v>
      </c>
    </row>
    <row r="269" spans="1:9" ht="30" hidden="1" x14ac:dyDescent="0.25">
      <c r="B269" s="263">
        <v>42339</v>
      </c>
      <c r="C269" s="235" t="s">
        <v>180</v>
      </c>
      <c r="D269" s="261">
        <v>3262</v>
      </c>
      <c r="E269" s="260">
        <v>1</v>
      </c>
      <c r="F269" s="261">
        <f t="shared" si="4"/>
        <v>3262</v>
      </c>
      <c r="G269" s="106" t="s">
        <v>575</v>
      </c>
      <c r="H269" s="106" t="s">
        <v>576</v>
      </c>
      <c r="I269" s="302">
        <v>92</v>
      </c>
    </row>
    <row r="270" spans="1:9" ht="15.75" hidden="1" thickBot="1" x14ac:dyDescent="0.3">
      <c r="B270" s="265"/>
      <c r="C270" s="250"/>
      <c r="D270" s="254"/>
      <c r="E270" s="251"/>
      <c r="F270" s="245"/>
      <c r="G270" s="246"/>
      <c r="H270" s="246"/>
      <c r="I270" s="303"/>
    </row>
    <row r="271" spans="1:9" ht="15" hidden="1" customHeight="1" thickBot="1" x14ac:dyDescent="0.3">
      <c r="B271" s="673">
        <v>42339</v>
      </c>
      <c r="C271" s="235" t="s">
        <v>388</v>
      </c>
      <c r="D271" s="195">
        <v>150</v>
      </c>
      <c r="E271" s="196">
        <v>10</v>
      </c>
      <c r="F271" s="195">
        <f t="shared" si="4"/>
        <v>1500</v>
      </c>
      <c r="G271" s="185" t="s">
        <v>577</v>
      </c>
      <c r="H271" s="658" t="s">
        <v>576</v>
      </c>
      <c r="I271" s="681">
        <v>92</v>
      </c>
    </row>
    <row r="272" spans="1:9" hidden="1" x14ac:dyDescent="0.25">
      <c r="B272" s="673"/>
      <c r="C272" s="235" t="s">
        <v>388</v>
      </c>
      <c r="D272" s="261">
        <v>30</v>
      </c>
      <c r="E272" s="260">
        <v>5</v>
      </c>
      <c r="F272" s="261">
        <f t="shared" si="4"/>
        <v>150</v>
      </c>
      <c r="G272" s="106" t="s">
        <v>578</v>
      </c>
      <c r="H272" s="658"/>
      <c r="I272" s="681"/>
    </row>
    <row r="273" spans="2:9" hidden="1" x14ac:dyDescent="0.25">
      <c r="B273" s="673"/>
      <c r="C273" s="235" t="s">
        <v>388</v>
      </c>
      <c r="D273" s="261">
        <v>80</v>
      </c>
      <c r="E273" s="260">
        <v>2</v>
      </c>
      <c r="F273" s="261">
        <f t="shared" si="4"/>
        <v>160</v>
      </c>
      <c r="G273" s="106" t="s">
        <v>579</v>
      </c>
      <c r="H273" s="658"/>
      <c r="I273" s="681"/>
    </row>
    <row r="274" spans="2:9" hidden="1" x14ac:dyDescent="0.25">
      <c r="B274" s="673"/>
      <c r="C274" s="235" t="s">
        <v>388</v>
      </c>
      <c r="D274" s="261">
        <v>140</v>
      </c>
      <c r="E274" s="260">
        <v>3</v>
      </c>
      <c r="F274" s="261">
        <f t="shared" si="4"/>
        <v>420</v>
      </c>
      <c r="G274" s="106" t="s">
        <v>580</v>
      </c>
      <c r="H274" s="658"/>
      <c r="I274" s="681"/>
    </row>
    <row r="275" spans="2:9" ht="15.75" hidden="1" thickBot="1" x14ac:dyDescent="0.3">
      <c r="B275" s="674"/>
      <c r="C275" s="250"/>
      <c r="D275" s="254"/>
      <c r="E275" s="251"/>
      <c r="F275" s="245"/>
      <c r="G275" s="246"/>
      <c r="H275" s="667"/>
      <c r="I275" s="682"/>
    </row>
    <row r="276" spans="2:9" ht="15" hidden="1" customHeight="1" thickBot="1" x14ac:dyDescent="0.3">
      <c r="B276" s="672">
        <v>42342</v>
      </c>
      <c r="C276" s="215" t="s">
        <v>388</v>
      </c>
      <c r="D276" s="304">
        <v>72</v>
      </c>
      <c r="E276" s="305">
        <v>1</v>
      </c>
      <c r="F276" s="304">
        <f t="shared" ref="F276:F286" si="5">D276*E276</f>
        <v>72</v>
      </c>
      <c r="G276" s="305" t="s">
        <v>581</v>
      </c>
      <c r="H276" s="671" t="s">
        <v>217</v>
      </c>
      <c r="I276" s="675">
        <v>92</v>
      </c>
    </row>
    <row r="277" spans="2:9" hidden="1" x14ac:dyDescent="0.25">
      <c r="B277" s="673"/>
      <c r="C277" s="215" t="s">
        <v>388</v>
      </c>
      <c r="D277" s="306">
        <v>45</v>
      </c>
      <c r="E277" s="307">
        <v>10</v>
      </c>
      <c r="F277" s="306">
        <f t="shared" si="5"/>
        <v>450</v>
      </c>
      <c r="G277" s="307" t="s">
        <v>582</v>
      </c>
      <c r="H277" s="658"/>
      <c r="I277" s="676"/>
    </row>
    <row r="278" spans="2:9" hidden="1" x14ac:dyDescent="0.25">
      <c r="B278" s="673"/>
      <c r="C278" s="215" t="s">
        <v>388</v>
      </c>
      <c r="D278" s="306">
        <v>9</v>
      </c>
      <c r="E278" s="307">
        <v>10</v>
      </c>
      <c r="F278" s="306">
        <f t="shared" si="5"/>
        <v>90</v>
      </c>
      <c r="G278" s="307" t="s">
        <v>583</v>
      </c>
      <c r="H278" s="658"/>
      <c r="I278" s="676"/>
    </row>
    <row r="279" spans="2:9" hidden="1" x14ac:dyDescent="0.25">
      <c r="B279" s="673"/>
      <c r="C279" s="215" t="s">
        <v>388</v>
      </c>
      <c r="D279" s="306">
        <v>18</v>
      </c>
      <c r="E279" s="307">
        <v>5</v>
      </c>
      <c r="F279" s="306">
        <f t="shared" si="5"/>
        <v>90</v>
      </c>
      <c r="G279" s="307" t="s">
        <v>584</v>
      </c>
      <c r="H279" s="658"/>
      <c r="I279" s="676"/>
    </row>
    <row r="280" spans="2:9" hidden="1" x14ac:dyDescent="0.25">
      <c r="B280" s="673"/>
      <c r="C280" s="215" t="s">
        <v>388</v>
      </c>
      <c r="D280" s="306">
        <v>135</v>
      </c>
      <c r="E280" s="307">
        <v>10</v>
      </c>
      <c r="F280" s="306">
        <f t="shared" si="5"/>
        <v>1350</v>
      </c>
      <c r="G280" s="308" t="s">
        <v>585</v>
      </c>
      <c r="H280" s="658"/>
      <c r="I280" s="676"/>
    </row>
    <row r="281" spans="2:9" hidden="1" x14ac:dyDescent="0.25">
      <c r="B281" s="673"/>
      <c r="C281" s="215" t="s">
        <v>388</v>
      </c>
      <c r="D281" s="306">
        <v>27</v>
      </c>
      <c r="E281" s="307">
        <v>1</v>
      </c>
      <c r="F281" s="306">
        <f t="shared" si="5"/>
        <v>27</v>
      </c>
      <c r="G281" s="307" t="s">
        <v>586</v>
      </c>
      <c r="H281" s="658"/>
      <c r="I281" s="676"/>
    </row>
    <row r="282" spans="2:9" hidden="1" x14ac:dyDescent="0.25">
      <c r="B282" s="673"/>
      <c r="C282" s="215" t="s">
        <v>388</v>
      </c>
      <c r="D282" s="306">
        <v>9</v>
      </c>
      <c r="E282" s="307">
        <v>2</v>
      </c>
      <c r="F282" s="306">
        <f t="shared" si="5"/>
        <v>18</v>
      </c>
      <c r="G282" s="307" t="s">
        <v>587</v>
      </c>
      <c r="H282" s="658"/>
      <c r="I282" s="676"/>
    </row>
    <row r="283" spans="2:9" hidden="1" x14ac:dyDescent="0.25">
      <c r="B283" s="673"/>
      <c r="C283" s="215" t="s">
        <v>388</v>
      </c>
      <c r="D283" s="306">
        <v>360</v>
      </c>
      <c r="E283" s="307">
        <v>1</v>
      </c>
      <c r="F283" s="306">
        <f t="shared" si="5"/>
        <v>360</v>
      </c>
      <c r="G283" s="308" t="s">
        <v>588</v>
      </c>
      <c r="H283" s="658"/>
      <c r="I283" s="676"/>
    </row>
    <row r="284" spans="2:9" hidden="1" x14ac:dyDescent="0.25">
      <c r="B284" s="673"/>
      <c r="C284" s="215" t="s">
        <v>388</v>
      </c>
      <c r="D284" s="309">
        <v>225</v>
      </c>
      <c r="E284" s="310">
        <v>1</v>
      </c>
      <c r="F284" s="309">
        <f t="shared" si="5"/>
        <v>225</v>
      </c>
      <c r="G284" s="146" t="s">
        <v>589</v>
      </c>
      <c r="H284" s="658"/>
      <c r="I284" s="676"/>
    </row>
    <row r="285" spans="2:9" ht="15" hidden="1" customHeight="1" thickBot="1" x14ac:dyDescent="0.3">
      <c r="B285" s="673"/>
      <c r="C285" s="215" t="s">
        <v>388</v>
      </c>
      <c r="D285" s="261">
        <v>12.5</v>
      </c>
      <c r="E285" s="260">
        <v>10</v>
      </c>
      <c r="F285" s="261">
        <f t="shared" si="5"/>
        <v>125</v>
      </c>
      <c r="G285" s="106" t="s">
        <v>590</v>
      </c>
      <c r="H285" s="658"/>
      <c r="I285" s="676"/>
    </row>
    <row r="286" spans="2:9" hidden="1" x14ac:dyDescent="0.25">
      <c r="B286" s="673"/>
      <c r="C286" s="215" t="s">
        <v>388</v>
      </c>
      <c r="D286" s="261">
        <v>1200</v>
      </c>
      <c r="E286" s="260">
        <v>1</v>
      </c>
      <c r="F286" s="261">
        <f t="shared" si="5"/>
        <v>1200</v>
      </c>
      <c r="G286" s="106" t="s">
        <v>591</v>
      </c>
      <c r="H286" s="658"/>
      <c r="I286" s="676"/>
    </row>
    <row r="287" spans="2:9" hidden="1" x14ac:dyDescent="0.25">
      <c r="B287" s="673"/>
      <c r="C287" s="215" t="s">
        <v>388</v>
      </c>
      <c r="D287" s="261">
        <v>386.36</v>
      </c>
      <c r="E287" s="260">
        <v>2.2000000000000002</v>
      </c>
      <c r="F287" s="261">
        <v>850</v>
      </c>
      <c r="G287" s="106" t="s">
        <v>592</v>
      </c>
      <c r="H287" s="658"/>
      <c r="I287" s="676"/>
    </row>
    <row r="288" spans="2:9" ht="15.75" hidden="1" thickBot="1" x14ac:dyDescent="0.3">
      <c r="B288" s="674"/>
      <c r="C288" s="188"/>
      <c r="D288" s="254"/>
      <c r="E288" s="251"/>
      <c r="F288" s="245"/>
      <c r="G288" s="246"/>
      <c r="H288" s="667"/>
      <c r="I288" s="677"/>
    </row>
    <row r="289" spans="2:9" ht="15.75" hidden="1" thickBot="1" x14ac:dyDescent="0.3">
      <c r="B289" s="253">
        <v>42349</v>
      </c>
      <c r="C289" s="248" t="s">
        <v>388</v>
      </c>
      <c r="D289" s="203">
        <v>13.74</v>
      </c>
      <c r="E289" s="204">
        <v>10</v>
      </c>
      <c r="F289" s="203">
        <f>D289*E289</f>
        <v>137.4</v>
      </c>
      <c r="G289" s="205" t="s">
        <v>593</v>
      </c>
      <c r="H289" s="206"/>
      <c r="I289" s="249" t="s">
        <v>67</v>
      </c>
    </row>
    <row r="290" spans="2:9" hidden="1" x14ac:dyDescent="0.25">
      <c r="B290" s="183"/>
      <c r="C290" s="311"/>
      <c r="D290" s="195"/>
      <c r="E290" s="196"/>
      <c r="F290" s="195"/>
      <c r="G290" s="185"/>
      <c r="H290" s="118"/>
      <c r="I290" s="199"/>
    </row>
    <row r="291" spans="2:9" hidden="1" x14ac:dyDescent="0.25">
      <c r="B291" s="312"/>
      <c r="C291" s="313"/>
      <c r="D291" s="314"/>
      <c r="E291" s="315"/>
      <c r="F291" s="316">
        <f>SUM(F51:F290)-F73-F80-F88-F94-F99-F111-F116-F121-F127-F132-F151-F162-F173-F179-F182-F189-F202-F207-F211-F222-F225-F230-F233-F239-F246-F256-F259-F267-F270-F275-F288</f>
        <v>111222.56999999999</v>
      </c>
      <c r="G291" s="313"/>
      <c r="H291" s="317"/>
      <c r="I291" s="312"/>
    </row>
    <row r="292" spans="2:9" ht="30" hidden="1" x14ac:dyDescent="0.25">
      <c r="B292" s="199"/>
      <c r="C292" s="185"/>
      <c r="D292" s="195"/>
      <c r="E292" s="318" t="s">
        <v>322</v>
      </c>
      <c r="F292" s="319" t="e">
        <f>F73+F74+F75+F81+F88+F89+F94+#REF!+F99+F111+F116+F121+F127+F128+F132+F133+F134+F151+F152+F162+F173+F179+F182+F189+F202+F207+F211+F222+F225+F230+F233+F234+F239+F246+F247+F256+F259+F261+F262+F267+F270+F275+F288+F289</f>
        <v>#REF!</v>
      </c>
      <c r="G292" s="185"/>
      <c r="H292" s="118"/>
      <c r="I292" s="199"/>
    </row>
    <row r="293" spans="2:9" hidden="1" x14ac:dyDescent="0.25">
      <c r="B293" s="668">
        <v>42377</v>
      </c>
      <c r="C293" s="320"/>
      <c r="D293" s="321">
        <v>50</v>
      </c>
      <c r="E293" s="196">
        <v>1</v>
      </c>
      <c r="F293" s="195">
        <f>D293*E293</f>
        <v>50</v>
      </c>
      <c r="G293" s="322" t="s">
        <v>594</v>
      </c>
      <c r="H293" s="670" t="s">
        <v>595</v>
      </c>
      <c r="I293" s="657">
        <v>90</v>
      </c>
    </row>
    <row r="294" spans="2:9" hidden="1" x14ac:dyDescent="0.25">
      <c r="B294" s="663"/>
      <c r="C294" s="320"/>
      <c r="D294" s="195">
        <v>60</v>
      </c>
      <c r="E294" s="196">
        <v>1</v>
      </c>
      <c r="F294" s="195">
        <f>D294*E294</f>
        <v>60</v>
      </c>
      <c r="G294" s="322" t="s">
        <v>596</v>
      </c>
      <c r="H294" s="665"/>
      <c r="I294" s="658"/>
    </row>
    <row r="295" spans="2:9" ht="15.75" hidden="1" thickBot="1" x14ac:dyDescent="0.3">
      <c r="B295" s="678"/>
      <c r="C295" s="311"/>
      <c r="D295" s="261">
        <v>45</v>
      </c>
      <c r="E295" s="260">
        <v>2</v>
      </c>
      <c r="F295" s="195">
        <f>D295*E295</f>
        <v>90</v>
      </c>
      <c r="G295" s="322" t="s">
        <v>597</v>
      </c>
      <c r="H295" s="666"/>
      <c r="I295" s="679"/>
    </row>
    <row r="296" spans="2:9" ht="30.75" hidden="1" thickBot="1" x14ac:dyDescent="0.3">
      <c r="B296" s="202">
        <v>42394</v>
      </c>
      <c r="C296" s="248"/>
      <c r="D296" s="203">
        <v>142.19</v>
      </c>
      <c r="E296" s="204">
        <v>2</v>
      </c>
      <c r="F296" s="203">
        <f>D296*E296</f>
        <v>284.38</v>
      </c>
      <c r="G296" s="205" t="s">
        <v>598</v>
      </c>
      <c r="H296" s="206" t="s">
        <v>599</v>
      </c>
      <c r="I296" s="207">
        <v>90</v>
      </c>
    </row>
    <row r="297" spans="2:9" ht="30.75" hidden="1" thickBot="1" x14ac:dyDescent="0.3">
      <c r="B297" s="202">
        <v>42394</v>
      </c>
      <c r="C297" s="248"/>
      <c r="D297" s="203">
        <v>250</v>
      </c>
      <c r="E297" s="204">
        <v>2</v>
      </c>
      <c r="F297" s="203">
        <f>D297*E297</f>
        <v>500</v>
      </c>
      <c r="G297" s="205" t="s">
        <v>600</v>
      </c>
      <c r="H297" s="206" t="s">
        <v>601</v>
      </c>
      <c r="I297" s="207">
        <v>90</v>
      </c>
    </row>
    <row r="298" spans="2:9" ht="30.75" hidden="1" thickBot="1" x14ac:dyDescent="0.3">
      <c r="B298" s="202">
        <v>42394</v>
      </c>
      <c r="C298" s="248"/>
      <c r="D298" s="203">
        <v>304.87</v>
      </c>
      <c r="E298" s="204">
        <v>2.46</v>
      </c>
      <c r="F298" s="203">
        <v>750</v>
      </c>
      <c r="G298" s="205" t="s">
        <v>602</v>
      </c>
      <c r="H298" s="206" t="s">
        <v>603</v>
      </c>
      <c r="I298" s="207">
        <v>90</v>
      </c>
    </row>
    <row r="299" spans="2:9" ht="30.75" hidden="1" thickBot="1" x14ac:dyDescent="0.3">
      <c r="B299" s="202">
        <v>42394</v>
      </c>
      <c r="C299" s="248"/>
      <c r="D299" s="203">
        <v>600</v>
      </c>
      <c r="E299" s="204">
        <v>1</v>
      </c>
      <c r="F299" s="203">
        <f t="shared" ref="F299:F357" si="6">D299*E299</f>
        <v>600</v>
      </c>
      <c r="G299" s="205" t="s">
        <v>604</v>
      </c>
      <c r="H299" s="206" t="s">
        <v>605</v>
      </c>
      <c r="I299" s="207">
        <v>90</v>
      </c>
    </row>
    <row r="300" spans="2:9" ht="30.75" hidden="1" thickBot="1" x14ac:dyDescent="0.3">
      <c r="B300" s="202">
        <v>42394</v>
      </c>
      <c r="C300" s="248"/>
      <c r="D300" s="203">
        <v>70</v>
      </c>
      <c r="E300" s="204">
        <v>3</v>
      </c>
      <c r="F300" s="203">
        <f t="shared" si="6"/>
        <v>210</v>
      </c>
      <c r="G300" s="205" t="s">
        <v>606</v>
      </c>
      <c r="H300" s="206" t="s">
        <v>607</v>
      </c>
      <c r="I300" s="207">
        <v>90</v>
      </c>
    </row>
    <row r="301" spans="2:9" hidden="1" x14ac:dyDescent="0.25">
      <c r="B301" s="669">
        <v>42394</v>
      </c>
      <c r="C301" s="235"/>
      <c r="D301" s="200">
        <v>1333.33</v>
      </c>
      <c r="E301" s="201">
        <v>0.9</v>
      </c>
      <c r="F301" s="200">
        <f t="shared" si="6"/>
        <v>1199.9970000000001</v>
      </c>
      <c r="G301" s="181" t="s">
        <v>608</v>
      </c>
      <c r="H301" s="670" t="s">
        <v>609</v>
      </c>
      <c r="I301" s="671">
        <v>90</v>
      </c>
    </row>
    <row r="302" spans="2:9" hidden="1" x14ac:dyDescent="0.25">
      <c r="B302" s="663"/>
      <c r="C302" s="320"/>
      <c r="D302" s="260">
        <v>250</v>
      </c>
      <c r="E302" s="260">
        <v>2</v>
      </c>
      <c r="F302" s="261">
        <f t="shared" si="6"/>
        <v>500</v>
      </c>
      <c r="G302" s="106" t="s">
        <v>610</v>
      </c>
      <c r="H302" s="665"/>
      <c r="I302" s="658"/>
    </row>
    <row r="303" spans="2:9" hidden="1" x14ac:dyDescent="0.25">
      <c r="B303" s="663"/>
      <c r="C303" s="320"/>
      <c r="D303" s="261">
        <v>950</v>
      </c>
      <c r="E303" s="260">
        <v>1</v>
      </c>
      <c r="F303" s="261">
        <f t="shared" si="6"/>
        <v>950</v>
      </c>
      <c r="G303" s="106" t="s">
        <v>611</v>
      </c>
      <c r="H303" s="665"/>
      <c r="I303" s="658"/>
    </row>
    <row r="304" spans="2:9" hidden="1" x14ac:dyDescent="0.25">
      <c r="B304" s="663"/>
      <c r="C304" s="320"/>
      <c r="D304" s="217">
        <v>250</v>
      </c>
      <c r="E304" s="216">
        <v>2</v>
      </c>
      <c r="F304" s="217">
        <f t="shared" si="6"/>
        <v>500</v>
      </c>
      <c r="G304" s="213" t="s">
        <v>600</v>
      </c>
      <c r="H304" s="665"/>
      <c r="I304" s="658"/>
    </row>
    <row r="305" spans="2:9" ht="15.75" hidden="1" thickBot="1" x14ac:dyDescent="0.3">
      <c r="B305" s="664"/>
      <c r="C305" s="250"/>
      <c r="D305" s="254">
        <v>250</v>
      </c>
      <c r="E305" s="251">
        <v>3</v>
      </c>
      <c r="F305" s="251">
        <f t="shared" si="6"/>
        <v>750</v>
      </c>
      <c r="G305" s="246" t="s">
        <v>612</v>
      </c>
      <c r="H305" s="666"/>
      <c r="I305" s="667"/>
    </row>
    <row r="306" spans="2:9" hidden="1" x14ac:dyDescent="0.25">
      <c r="B306" s="669">
        <v>42394</v>
      </c>
      <c r="C306" s="235"/>
      <c r="D306" s="200">
        <v>240</v>
      </c>
      <c r="E306" s="201">
        <v>2</v>
      </c>
      <c r="F306" s="200">
        <f t="shared" si="6"/>
        <v>480</v>
      </c>
      <c r="G306" s="181" t="s">
        <v>613</v>
      </c>
      <c r="H306" s="670" t="s">
        <v>609</v>
      </c>
      <c r="I306" s="671">
        <v>90</v>
      </c>
    </row>
    <row r="307" spans="2:9" hidden="1" x14ac:dyDescent="0.25">
      <c r="B307" s="663"/>
      <c r="C307" s="320"/>
      <c r="D307" s="261">
        <v>300</v>
      </c>
      <c r="E307" s="260">
        <v>2</v>
      </c>
      <c r="F307" s="261">
        <f t="shared" si="6"/>
        <v>600</v>
      </c>
      <c r="G307" s="185" t="s">
        <v>614</v>
      </c>
      <c r="H307" s="665"/>
      <c r="I307" s="658"/>
    </row>
    <row r="308" spans="2:9" hidden="1" x14ac:dyDescent="0.25">
      <c r="B308" s="663"/>
      <c r="C308" s="320"/>
      <c r="D308" s="261">
        <v>17</v>
      </c>
      <c r="E308" s="260">
        <v>2</v>
      </c>
      <c r="F308" s="261">
        <f t="shared" si="6"/>
        <v>34</v>
      </c>
      <c r="G308" s="106" t="s">
        <v>615</v>
      </c>
      <c r="H308" s="665"/>
      <c r="I308" s="658"/>
    </row>
    <row r="309" spans="2:9" hidden="1" x14ac:dyDescent="0.25">
      <c r="B309" s="663"/>
      <c r="C309" s="320"/>
      <c r="D309" s="261">
        <v>40</v>
      </c>
      <c r="E309" s="260">
        <v>4</v>
      </c>
      <c r="F309" s="261">
        <f t="shared" si="6"/>
        <v>160</v>
      </c>
      <c r="G309" s="106" t="s">
        <v>616</v>
      </c>
      <c r="H309" s="665"/>
      <c r="I309" s="658"/>
    </row>
    <row r="310" spans="2:9" hidden="1" x14ac:dyDescent="0.25">
      <c r="B310" s="663"/>
      <c r="C310" s="320"/>
      <c r="D310" s="261">
        <v>1180</v>
      </c>
      <c r="E310" s="260">
        <v>1</v>
      </c>
      <c r="F310" s="261">
        <f t="shared" si="6"/>
        <v>1180</v>
      </c>
      <c r="G310" s="106" t="s">
        <v>617</v>
      </c>
      <c r="H310" s="665"/>
      <c r="I310" s="658"/>
    </row>
    <row r="311" spans="2:9" hidden="1" x14ac:dyDescent="0.25">
      <c r="B311" s="663"/>
      <c r="C311" s="320"/>
      <c r="D311" s="261">
        <v>950</v>
      </c>
      <c r="E311" s="260">
        <v>2</v>
      </c>
      <c r="F311" s="261">
        <f t="shared" si="6"/>
        <v>1900</v>
      </c>
      <c r="G311" s="106" t="s">
        <v>618</v>
      </c>
      <c r="H311" s="665"/>
      <c r="I311" s="658"/>
    </row>
    <row r="312" spans="2:9" hidden="1" x14ac:dyDescent="0.25">
      <c r="B312" s="663"/>
      <c r="C312" s="320"/>
      <c r="D312" s="261">
        <v>460</v>
      </c>
      <c r="E312" s="260">
        <v>2</v>
      </c>
      <c r="F312" s="261">
        <f t="shared" si="6"/>
        <v>920</v>
      </c>
      <c r="G312" s="106" t="s">
        <v>619</v>
      </c>
      <c r="H312" s="665"/>
      <c r="I312" s="658"/>
    </row>
    <row r="313" spans="2:9" hidden="1" x14ac:dyDescent="0.25">
      <c r="B313" s="663"/>
      <c r="C313" s="320"/>
      <c r="D313" s="261">
        <v>85</v>
      </c>
      <c r="E313" s="260">
        <v>1</v>
      </c>
      <c r="F313" s="261">
        <f t="shared" si="6"/>
        <v>85</v>
      </c>
      <c r="G313" s="106" t="s">
        <v>620</v>
      </c>
      <c r="H313" s="665"/>
      <c r="I313" s="658"/>
    </row>
    <row r="314" spans="2:9" hidden="1" x14ac:dyDescent="0.25">
      <c r="B314" s="663"/>
      <c r="C314" s="320"/>
      <c r="D314" s="261">
        <v>210</v>
      </c>
      <c r="E314" s="260">
        <v>2</v>
      </c>
      <c r="F314" s="261">
        <f t="shared" si="6"/>
        <v>420</v>
      </c>
      <c r="G314" s="106" t="s">
        <v>621</v>
      </c>
      <c r="H314" s="665"/>
      <c r="I314" s="658"/>
    </row>
    <row r="315" spans="2:9" hidden="1" x14ac:dyDescent="0.25">
      <c r="B315" s="663"/>
      <c r="C315" s="320"/>
      <c r="D315" s="261">
        <v>330</v>
      </c>
      <c r="E315" s="260">
        <v>2</v>
      </c>
      <c r="F315" s="261">
        <f t="shared" si="6"/>
        <v>660</v>
      </c>
      <c r="G315" s="106" t="s">
        <v>622</v>
      </c>
      <c r="H315" s="665"/>
      <c r="I315" s="658"/>
    </row>
    <row r="316" spans="2:9" hidden="1" x14ac:dyDescent="0.25">
      <c r="B316" s="663"/>
      <c r="C316" s="320"/>
      <c r="D316" s="261">
        <v>50</v>
      </c>
      <c r="E316" s="260">
        <v>2</v>
      </c>
      <c r="F316" s="261">
        <f t="shared" si="6"/>
        <v>100</v>
      </c>
      <c r="G316" s="106" t="s">
        <v>623</v>
      </c>
      <c r="H316" s="665"/>
      <c r="I316" s="658"/>
    </row>
    <row r="317" spans="2:9" ht="15.75" hidden="1" thickBot="1" x14ac:dyDescent="0.3">
      <c r="B317" s="664"/>
      <c r="C317" s="250"/>
      <c r="D317" s="254">
        <v>55</v>
      </c>
      <c r="E317" s="251">
        <v>3</v>
      </c>
      <c r="F317" s="254">
        <f t="shared" si="6"/>
        <v>165</v>
      </c>
      <c r="G317" s="246" t="s">
        <v>624</v>
      </c>
      <c r="H317" s="666"/>
      <c r="I317" s="667"/>
    </row>
    <row r="318" spans="2:9" hidden="1" x14ac:dyDescent="0.25">
      <c r="B318" s="669">
        <v>42395</v>
      </c>
      <c r="C318" s="235"/>
      <c r="D318" s="200">
        <v>109</v>
      </c>
      <c r="E318" s="201">
        <v>2</v>
      </c>
      <c r="F318" s="200">
        <f t="shared" si="6"/>
        <v>218</v>
      </c>
      <c r="G318" s="181" t="s">
        <v>625</v>
      </c>
      <c r="H318" s="670" t="s">
        <v>626</v>
      </c>
      <c r="I318" s="671">
        <v>90</v>
      </c>
    </row>
    <row r="319" spans="2:9" hidden="1" x14ac:dyDescent="0.25">
      <c r="B319" s="663"/>
      <c r="C319" s="320"/>
      <c r="D319" s="261">
        <v>29</v>
      </c>
      <c r="E319" s="260">
        <v>1</v>
      </c>
      <c r="F319" s="261">
        <f t="shared" si="6"/>
        <v>29</v>
      </c>
      <c r="G319" s="106" t="s">
        <v>627</v>
      </c>
      <c r="H319" s="665"/>
      <c r="I319" s="658"/>
    </row>
    <row r="320" spans="2:9" ht="15.75" hidden="1" thickBot="1" x14ac:dyDescent="0.3">
      <c r="B320" s="664"/>
      <c r="C320" s="250"/>
      <c r="D320" s="254">
        <v>40</v>
      </c>
      <c r="E320" s="251">
        <v>1</v>
      </c>
      <c r="F320" s="254">
        <f t="shared" si="6"/>
        <v>40</v>
      </c>
      <c r="G320" s="246" t="s">
        <v>628</v>
      </c>
      <c r="H320" s="666"/>
      <c r="I320" s="667"/>
    </row>
    <row r="321" spans="2:9" ht="30.75" hidden="1" thickBot="1" x14ac:dyDescent="0.3">
      <c r="B321" s="202">
        <v>42398</v>
      </c>
      <c r="C321" s="248"/>
      <c r="D321" s="203">
        <v>150</v>
      </c>
      <c r="E321" s="204">
        <v>1</v>
      </c>
      <c r="F321" s="203">
        <f t="shared" si="6"/>
        <v>150</v>
      </c>
      <c r="G321" s="205" t="s">
        <v>629</v>
      </c>
      <c r="H321" s="206" t="s">
        <v>630</v>
      </c>
      <c r="I321" s="207">
        <v>88</v>
      </c>
    </row>
    <row r="322" spans="2:9" ht="30.75" hidden="1" thickBot="1" x14ac:dyDescent="0.3">
      <c r="B322" s="186">
        <v>42401</v>
      </c>
      <c r="C322" s="250"/>
      <c r="D322" s="209">
        <v>2500</v>
      </c>
      <c r="E322" s="192">
        <v>1</v>
      </c>
      <c r="F322" s="209">
        <f t="shared" si="6"/>
        <v>2500</v>
      </c>
      <c r="G322" s="188" t="s">
        <v>631</v>
      </c>
      <c r="H322" s="189" t="s">
        <v>632</v>
      </c>
      <c r="I322" s="190">
        <v>88</v>
      </c>
    </row>
    <row r="323" spans="2:9" hidden="1" x14ac:dyDescent="0.25">
      <c r="B323" s="669">
        <v>42401</v>
      </c>
      <c r="C323" s="235"/>
      <c r="D323" s="200">
        <v>400</v>
      </c>
      <c r="E323" s="201">
        <v>2</v>
      </c>
      <c r="F323" s="200">
        <f t="shared" si="6"/>
        <v>800</v>
      </c>
      <c r="G323" s="181" t="s">
        <v>633</v>
      </c>
      <c r="H323" s="671" t="s">
        <v>609</v>
      </c>
      <c r="I323" s="671">
        <v>92</v>
      </c>
    </row>
    <row r="324" spans="2:9" hidden="1" x14ac:dyDescent="0.25">
      <c r="B324" s="658"/>
      <c r="C324" s="323"/>
      <c r="D324" s="261">
        <v>55</v>
      </c>
      <c r="E324" s="260">
        <v>4</v>
      </c>
      <c r="F324" s="261">
        <f t="shared" si="6"/>
        <v>220</v>
      </c>
      <c r="G324" s="106" t="s">
        <v>634</v>
      </c>
      <c r="H324" s="658"/>
      <c r="I324" s="658"/>
    </row>
    <row r="325" spans="2:9" hidden="1" x14ac:dyDescent="0.25">
      <c r="B325" s="658"/>
      <c r="C325" s="323"/>
      <c r="D325" s="261">
        <v>85</v>
      </c>
      <c r="E325" s="260">
        <v>2</v>
      </c>
      <c r="F325" s="261">
        <f t="shared" si="6"/>
        <v>170</v>
      </c>
      <c r="G325" s="106" t="s">
        <v>620</v>
      </c>
      <c r="H325" s="658"/>
      <c r="I325" s="658"/>
    </row>
    <row r="326" spans="2:9" hidden="1" x14ac:dyDescent="0.25">
      <c r="B326" s="658"/>
      <c r="C326" s="323"/>
      <c r="D326" s="261">
        <v>460</v>
      </c>
      <c r="E326" s="260">
        <v>2</v>
      </c>
      <c r="F326" s="261">
        <f t="shared" si="6"/>
        <v>920</v>
      </c>
      <c r="G326" s="106" t="s">
        <v>619</v>
      </c>
      <c r="H326" s="658"/>
      <c r="I326" s="658"/>
    </row>
    <row r="327" spans="2:9" hidden="1" x14ac:dyDescent="0.25">
      <c r="B327" s="658"/>
      <c r="C327" s="323"/>
      <c r="D327" s="261">
        <v>60</v>
      </c>
      <c r="E327" s="260">
        <v>1</v>
      </c>
      <c r="F327" s="261">
        <f t="shared" si="6"/>
        <v>60</v>
      </c>
      <c r="G327" s="106" t="s">
        <v>635</v>
      </c>
      <c r="H327" s="658"/>
      <c r="I327" s="658"/>
    </row>
    <row r="328" spans="2:9" hidden="1" x14ac:dyDescent="0.25">
      <c r="B328" s="658"/>
      <c r="C328" s="323"/>
      <c r="D328" s="261">
        <v>60</v>
      </c>
      <c r="E328" s="260">
        <v>1</v>
      </c>
      <c r="F328" s="261">
        <f t="shared" si="6"/>
        <v>60</v>
      </c>
      <c r="G328" s="106" t="s">
        <v>636</v>
      </c>
      <c r="H328" s="658"/>
      <c r="I328" s="658"/>
    </row>
    <row r="329" spans="2:9" hidden="1" x14ac:dyDescent="0.25">
      <c r="B329" s="658"/>
      <c r="C329" s="323"/>
      <c r="D329" s="261">
        <v>17</v>
      </c>
      <c r="E329" s="260">
        <v>4</v>
      </c>
      <c r="F329" s="261">
        <f t="shared" si="6"/>
        <v>68</v>
      </c>
      <c r="G329" s="106" t="s">
        <v>615</v>
      </c>
      <c r="H329" s="658"/>
      <c r="I329" s="658"/>
    </row>
    <row r="330" spans="2:9" hidden="1" x14ac:dyDescent="0.25">
      <c r="B330" s="658"/>
      <c r="C330" s="323"/>
      <c r="D330" s="261">
        <v>40</v>
      </c>
      <c r="E330" s="260">
        <v>6</v>
      </c>
      <c r="F330" s="261">
        <f t="shared" si="6"/>
        <v>240</v>
      </c>
      <c r="G330" s="106" t="s">
        <v>616</v>
      </c>
      <c r="H330" s="658"/>
      <c r="I330" s="658"/>
    </row>
    <row r="331" spans="2:9" hidden="1" x14ac:dyDescent="0.25">
      <c r="B331" s="658"/>
      <c r="C331" s="323"/>
      <c r="D331" s="261">
        <v>250</v>
      </c>
      <c r="E331" s="260">
        <v>2</v>
      </c>
      <c r="F331" s="261">
        <f t="shared" si="6"/>
        <v>500</v>
      </c>
      <c r="G331" s="106" t="s">
        <v>637</v>
      </c>
      <c r="H331" s="658"/>
      <c r="I331" s="658"/>
    </row>
    <row r="332" spans="2:9" hidden="1" x14ac:dyDescent="0.25">
      <c r="B332" s="658"/>
      <c r="C332" s="323"/>
      <c r="D332" s="261">
        <v>1180</v>
      </c>
      <c r="E332" s="260">
        <v>1</v>
      </c>
      <c r="F332" s="261">
        <f t="shared" si="6"/>
        <v>1180</v>
      </c>
      <c r="G332" s="106" t="s">
        <v>638</v>
      </c>
      <c r="H332" s="658"/>
      <c r="I332" s="658"/>
    </row>
    <row r="333" spans="2:9" hidden="1" x14ac:dyDescent="0.25">
      <c r="B333" s="658"/>
      <c r="C333" s="323"/>
      <c r="D333" s="261">
        <v>950</v>
      </c>
      <c r="E333" s="260">
        <v>2</v>
      </c>
      <c r="F333" s="261">
        <f t="shared" si="6"/>
        <v>1900</v>
      </c>
      <c r="G333" s="106" t="s">
        <v>639</v>
      </c>
      <c r="H333" s="658"/>
      <c r="I333" s="658"/>
    </row>
    <row r="334" spans="2:9" hidden="1" x14ac:dyDescent="0.25">
      <c r="B334" s="658"/>
      <c r="C334" s="323"/>
      <c r="D334" s="261">
        <v>310</v>
      </c>
      <c r="E334" s="260">
        <v>8</v>
      </c>
      <c r="F334" s="261">
        <f t="shared" si="6"/>
        <v>2480</v>
      </c>
      <c r="G334" s="106" t="s">
        <v>640</v>
      </c>
      <c r="H334" s="658"/>
      <c r="I334" s="658"/>
    </row>
    <row r="335" spans="2:9" hidden="1" x14ac:dyDescent="0.25">
      <c r="B335" s="658"/>
      <c r="C335" s="323"/>
      <c r="D335" s="261">
        <v>18</v>
      </c>
      <c r="E335" s="260">
        <v>8</v>
      </c>
      <c r="F335" s="261">
        <f t="shared" si="6"/>
        <v>144</v>
      </c>
      <c r="G335" s="106" t="s">
        <v>641</v>
      </c>
      <c r="H335" s="658"/>
      <c r="I335" s="658"/>
    </row>
    <row r="336" spans="2:9" ht="30.75" hidden="1" thickBot="1" x14ac:dyDescent="0.3">
      <c r="B336" s="667"/>
      <c r="C336" s="188"/>
      <c r="D336" s="254">
        <v>390</v>
      </c>
      <c r="E336" s="251">
        <v>1</v>
      </c>
      <c r="F336" s="254">
        <f t="shared" si="6"/>
        <v>390</v>
      </c>
      <c r="G336" s="246" t="s">
        <v>642</v>
      </c>
      <c r="H336" s="667"/>
      <c r="I336" s="667"/>
    </row>
    <row r="337" spans="2:9" hidden="1" x14ac:dyDescent="0.25">
      <c r="B337" s="669">
        <v>42401</v>
      </c>
      <c r="C337" s="235"/>
      <c r="D337" s="200">
        <v>350</v>
      </c>
      <c r="E337" s="201">
        <v>1</v>
      </c>
      <c r="F337" s="200">
        <f t="shared" si="6"/>
        <v>350</v>
      </c>
      <c r="G337" s="181" t="s">
        <v>600</v>
      </c>
      <c r="H337" s="671" t="s">
        <v>643</v>
      </c>
      <c r="I337" s="671">
        <v>92</v>
      </c>
    </row>
    <row r="338" spans="2:9" hidden="1" x14ac:dyDescent="0.25">
      <c r="B338" s="658"/>
      <c r="C338" s="323"/>
      <c r="D338" s="261">
        <v>180</v>
      </c>
      <c r="E338" s="260">
        <v>4</v>
      </c>
      <c r="F338" s="261">
        <f t="shared" si="6"/>
        <v>720</v>
      </c>
      <c r="G338" s="106" t="s">
        <v>606</v>
      </c>
      <c r="H338" s="658"/>
      <c r="I338" s="658"/>
    </row>
    <row r="339" spans="2:9" hidden="1" x14ac:dyDescent="0.25">
      <c r="B339" s="658"/>
      <c r="C339" s="323"/>
      <c r="D339" s="261">
        <v>800</v>
      </c>
      <c r="E339" s="260">
        <v>1</v>
      </c>
      <c r="F339" s="261">
        <f t="shared" si="6"/>
        <v>800</v>
      </c>
      <c r="G339" s="106" t="s">
        <v>611</v>
      </c>
      <c r="H339" s="658"/>
      <c r="I339" s="658"/>
    </row>
    <row r="340" spans="2:9" hidden="1" x14ac:dyDescent="0.25">
      <c r="B340" s="658"/>
      <c r="C340" s="323"/>
      <c r="D340" s="261">
        <v>150</v>
      </c>
      <c r="E340" s="260">
        <v>3</v>
      </c>
      <c r="F340" s="261">
        <f t="shared" si="6"/>
        <v>450</v>
      </c>
      <c r="G340" s="106" t="s">
        <v>612</v>
      </c>
      <c r="H340" s="658"/>
      <c r="I340" s="658"/>
    </row>
    <row r="341" spans="2:9" hidden="1" x14ac:dyDescent="0.25">
      <c r="B341" s="658"/>
      <c r="C341" s="323"/>
      <c r="D341" s="261">
        <v>300</v>
      </c>
      <c r="E341" s="260">
        <v>2</v>
      </c>
      <c r="F341" s="261">
        <f t="shared" si="6"/>
        <v>600</v>
      </c>
      <c r="G341" s="106" t="s">
        <v>644</v>
      </c>
      <c r="H341" s="658"/>
      <c r="I341" s="658"/>
    </row>
    <row r="342" spans="2:9" ht="15.75" hidden="1" thickBot="1" x14ac:dyDescent="0.3">
      <c r="B342" s="667"/>
      <c r="C342" s="188"/>
      <c r="D342" s="254">
        <v>2500</v>
      </c>
      <c r="E342" s="251">
        <v>1</v>
      </c>
      <c r="F342" s="254">
        <f t="shared" si="6"/>
        <v>2500</v>
      </c>
      <c r="G342" s="246" t="s">
        <v>645</v>
      </c>
      <c r="H342" s="667"/>
      <c r="I342" s="667"/>
    </row>
    <row r="343" spans="2:9" ht="15.75" hidden="1" thickBot="1" x14ac:dyDescent="0.3">
      <c r="B343" s="212">
        <v>42401</v>
      </c>
      <c r="C343" s="248"/>
      <c r="D343" s="203">
        <v>1075</v>
      </c>
      <c r="E343" s="204">
        <v>1</v>
      </c>
      <c r="F343" s="203">
        <f t="shared" si="6"/>
        <v>1075</v>
      </c>
      <c r="G343" s="205" t="s">
        <v>646</v>
      </c>
      <c r="H343" s="207" t="s">
        <v>609</v>
      </c>
      <c r="I343" s="207">
        <v>92</v>
      </c>
    </row>
    <row r="344" spans="2:9" ht="15.75" hidden="1" thickBot="1" x14ac:dyDescent="0.3">
      <c r="B344" s="212">
        <v>42402</v>
      </c>
      <c r="C344" s="248"/>
      <c r="D344" s="203">
        <v>1500</v>
      </c>
      <c r="E344" s="204">
        <v>1</v>
      </c>
      <c r="F344" s="203">
        <f t="shared" si="6"/>
        <v>1500</v>
      </c>
      <c r="G344" s="205" t="s">
        <v>647</v>
      </c>
      <c r="H344" s="207" t="s">
        <v>609</v>
      </c>
      <c r="I344" s="207">
        <v>92</v>
      </c>
    </row>
    <row r="345" spans="2:9" ht="15.75" hidden="1" thickBot="1" x14ac:dyDescent="0.3">
      <c r="B345" s="212">
        <v>42403</v>
      </c>
      <c r="C345" s="248"/>
      <c r="D345" s="203">
        <v>200</v>
      </c>
      <c r="E345" s="204">
        <v>1</v>
      </c>
      <c r="F345" s="203">
        <f t="shared" si="6"/>
        <v>200</v>
      </c>
      <c r="G345" s="205" t="s">
        <v>648</v>
      </c>
      <c r="H345" s="206" t="s">
        <v>649</v>
      </c>
      <c r="I345" s="207">
        <v>88</v>
      </c>
    </row>
    <row r="346" spans="2:9" hidden="1" x14ac:dyDescent="0.25">
      <c r="B346" s="660">
        <v>42409</v>
      </c>
      <c r="C346" s="259"/>
      <c r="D346" s="200">
        <v>2</v>
      </c>
      <c r="E346" s="201">
        <v>15</v>
      </c>
      <c r="F346" s="200">
        <f t="shared" si="6"/>
        <v>30</v>
      </c>
      <c r="G346" s="181" t="s">
        <v>650</v>
      </c>
      <c r="H346" s="671" t="s">
        <v>651</v>
      </c>
      <c r="I346" s="671" t="s">
        <v>245</v>
      </c>
    </row>
    <row r="347" spans="2:9" hidden="1" x14ac:dyDescent="0.25">
      <c r="B347" s="661"/>
      <c r="C347" s="324"/>
      <c r="D347" s="261">
        <v>2</v>
      </c>
      <c r="E347" s="260">
        <v>20</v>
      </c>
      <c r="F347" s="261">
        <f t="shared" si="6"/>
        <v>40</v>
      </c>
      <c r="G347" s="106" t="s">
        <v>652</v>
      </c>
      <c r="H347" s="658"/>
      <c r="I347" s="658"/>
    </row>
    <row r="348" spans="2:9" hidden="1" x14ac:dyDescent="0.25">
      <c r="B348" s="661"/>
      <c r="C348" s="324"/>
      <c r="D348" s="261">
        <v>2</v>
      </c>
      <c r="E348" s="260">
        <v>20</v>
      </c>
      <c r="F348" s="261">
        <f t="shared" si="6"/>
        <v>40</v>
      </c>
      <c r="G348" s="106" t="s">
        <v>653</v>
      </c>
      <c r="H348" s="658"/>
      <c r="I348" s="658"/>
    </row>
    <row r="349" spans="2:9" hidden="1" x14ac:dyDescent="0.25">
      <c r="B349" s="661"/>
      <c r="C349" s="324"/>
      <c r="D349" s="261">
        <v>2</v>
      </c>
      <c r="E349" s="260">
        <v>15</v>
      </c>
      <c r="F349" s="261">
        <f t="shared" si="6"/>
        <v>30</v>
      </c>
      <c r="G349" s="106" t="s">
        <v>654</v>
      </c>
      <c r="H349" s="658"/>
      <c r="I349" s="658"/>
    </row>
    <row r="350" spans="2:9" hidden="1" x14ac:dyDescent="0.25">
      <c r="B350" s="661"/>
      <c r="C350" s="324"/>
      <c r="D350" s="261">
        <v>2</v>
      </c>
      <c r="E350" s="260">
        <v>15</v>
      </c>
      <c r="F350" s="261">
        <f t="shared" si="6"/>
        <v>30</v>
      </c>
      <c r="G350" s="106" t="s">
        <v>655</v>
      </c>
      <c r="H350" s="658"/>
      <c r="I350" s="658"/>
    </row>
    <row r="351" spans="2:9" hidden="1" x14ac:dyDescent="0.25">
      <c r="B351" s="661"/>
      <c r="C351" s="324"/>
      <c r="D351" s="261">
        <v>10</v>
      </c>
      <c r="E351" s="260">
        <v>10</v>
      </c>
      <c r="F351" s="261">
        <f t="shared" si="6"/>
        <v>100</v>
      </c>
      <c r="G351" s="106" t="s">
        <v>656</v>
      </c>
      <c r="H351" s="658"/>
      <c r="I351" s="658"/>
    </row>
    <row r="352" spans="2:9" hidden="1" x14ac:dyDescent="0.25">
      <c r="B352" s="661"/>
      <c r="C352" s="324"/>
      <c r="D352" s="261">
        <v>10</v>
      </c>
      <c r="E352" s="260">
        <v>10</v>
      </c>
      <c r="F352" s="261">
        <f t="shared" si="6"/>
        <v>100</v>
      </c>
      <c r="G352" s="106" t="s">
        <v>657</v>
      </c>
      <c r="H352" s="658"/>
      <c r="I352" s="658"/>
    </row>
    <row r="353" spans="2:9" ht="15.75" hidden="1" thickBot="1" x14ac:dyDescent="0.3">
      <c r="B353" s="662"/>
      <c r="C353" s="258"/>
      <c r="D353" s="254">
        <v>7</v>
      </c>
      <c r="E353" s="251">
        <v>10</v>
      </c>
      <c r="F353" s="254">
        <f t="shared" si="6"/>
        <v>70</v>
      </c>
      <c r="G353" s="246" t="s">
        <v>658</v>
      </c>
      <c r="H353" s="667"/>
      <c r="I353" s="667"/>
    </row>
    <row r="354" spans="2:9" hidden="1" x14ac:dyDescent="0.25">
      <c r="B354" s="660">
        <v>42433</v>
      </c>
      <c r="C354" s="259"/>
      <c r="D354" s="325">
        <v>200</v>
      </c>
      <c r="E354" s="326">
        <v>2</v>
      </c>
      <c r="F354" s="325">
        <f t="shared" si="6"/>
        <v>400</v>
      </c>
      <c r="G354" s="215" t="s">
        <v>659</v>
      </c>
      <c r="H354" s="671" t="s">
        <v>651</v>
      </c>
      <c r="I354" s="671" t="s">
        <v>245</v>
      </c>
    </row>
    <row r="355" spans="2:9" ht="15.75" hidden="1" thickBot="1" x14ac:dyDescent="0.3">
      <c r="B355" s="662"/>
      <c r="C355" s="258"/>
      <c r="D355" s="254">
        <v>2</v>
      </c>
      <c r="E355" s="251">
        <v>15</v>
      </c>
      <c r="F355" s="254">
        <f t="shared" si="6"/>
        <v>30</v>
      </c>
      <c r="G355" s="246" t="s">
        <v>660</v>
      </c>
      <c r="H355" s="667"/>
      <c r="I355" s="667"/>
    </row>
    <row r="356" spans="2:9" hidden="1" x14ac:dyDescent="0.25">
      <c r="B356" s="327">
        <v>42439</v>
      </c>
      <c r="C356" s="311"/>
      <c r="D356" s="195">
        <v>2</v>
      </c>
      <c r="E356" s="196">
        <v>20</v>
      </c>
      <c r="F356" s="195">
        <f t="shared" si="6"/>
        <v>40</v>
      </c>
      <c r="G356" s="185" t="s">
        <v>661</v>
      </c>
      <c r="H356" s="118" t="s">
        <v>662</v>
      </c>
      <c r="I356" s="199">
        <v>92</v>
      </c>
    </row>
    <row r="357" spans="2:9" hidden="1" x14ac:dyDescent="0.25">
      <c r="B357" s="327">
        <v>42439</v>
      </c>
      <c r="C357" s="311"/>
      <c r="D357" s="195">
        <v>2</v>
      </c>
      <c r="E357" s="196">
        <v>550</v>
      </c>
      <c r="F357" s="195">
        <f t="shared" si="6"/>
        <v>1100</v>
      </c>
      <c r="G357" s="185" t="s">
        <v>663</v>
      </c>
      <c r="H357" s="118" t="s">
        <v>664</v>
      </c>
      <c r="I357" s="199">
        <v>88</v>
      </c>
    </row>
    <row r="358" spans="2:9" hidden="1" x14ac:dyDescent="0.25">
      <c r="B358" s="196"/>
      <c r="C358" s="185"/>
      <c r="D358" s="195"/>
      <c r="E358" s="196"/>
      <c r="F358" s="195"/>
      <c r="G358" s="185"/>
      <c r="H358" s="118"/>
      <c r="I358" s="199"/>
    </row>
    <row r="359" spans="2:9" hidden="1" x14ac:dyDescent="0.25">
      <c r="B359" s="196"/>
      <c r="C359" s="185"/>
      <c r="D359" s="195"/>
      <c r="E359" s="196"/>
      <c r="F359" s="195"/>
      <c r="G359" s="185"/>
      <c r="H359" s="118"/>
      <c r="I359" s="199"/>
    </row>
    <row r="360" spans="2:9" hidden="1" x14ac:dyDescent="0.25">
      <c r="B360" s="196"/>
      <c r="C360" s="185"/>
      <c r="D360" s="195"/>
      <c r="E360" s="196"/>
      <c r="F360" s="195"/>
      <c r="G360" s="185"/>
      <c r="H360" s="118"/>
      <c r="I360" s="199"/>
    </row>
    <row r="361" spans="2:9" hidden="1" x14ac:dyDescent="0.25">
      <c r="B361" s="196"/>
      <c r="C361" s="185"/>
      <c r="D361" s="195"/>
      <c r="E361" s="196"/>
      <c r="F361" s="195"/>
      <c r="G361" s="185"/>
      <c r="H361" s="118"/>
      <c r="I361" s="199"/>
    </row>
    <row r="362" spans="2:9" hidden="1" x14ac:dyDescent="0.25">
      <c r="B362" s="196"/>
      <c r="C362" s="185"/>
      <c r="D362" s="195"/>
      <c r="E362" s="196"/>
      <c r="F362" s="195"/>
      <c r="G362" s="185"/>
      <c r="H362" s="118"/>
      <c r="I362" s="199"/>
    </row>
    <row r="363" spans="2:9" hidden="1" x14ac:dyDescent="0.25">
      <c r="B363" s="196"/>
      <c r="C363" s="185"/>
      <c r="D363" s="195"/>
      <c r="E363" s="196"/>
      <c r="F363" s="195"/>
      <c r="G363" s="185"/>
      <c r="H363" s="118"/>
      <c r="I363" s="199"/>
    </row>
    <row r="364" spans="2:9" hidden="1" x14ac:dyDescent="0.25">
      <c r="B364" s="196"/>
      <c r="C364" s="185"/>
      <c r="D364" s="195"/>
      <c r="E364" s="196"/>
      <c r="F364" s="195"/>
      <c r="G364" s="185"/>
      <c r="H364" s="118"/>
      <c r="I364" s="199"/>
    </row>
    <row r="365" spans="2:9" hidden="1" x14ac:dyDescent="0.25">
      <c r="B365" s="196"/>
      <c r="C365" s="185"/>
      <c r="D365" s="195"/>
      <c r="E365" s="196"/>
      <c r="F365" s="195"/>
      <c r="G365" s="185"/>
      <c r="H365" s="118"/>
      <c r="I365" s="199"/>
    </row>
    <row r="366" spans="2:9" hidden="1" x14ac:dyDescent="0.25">
      <c r="B366" s="196"/>
      <c r="C366" s="185"/>
      <c r="D366" s="195"/>
      <c r="E366" s="196"/>
      <c r="F366" s="195"/>
      <c r="G366" s="185"/>
      <c r="H366" s="118"/>
      <c r="I366" s="199"/>
    </row>
    <row r="367" spans="2:9" hidden="1" x14ac:dyDescent="0.25">
      <c r="B367" s="196"/>
      <c r="C367" s="185"/>
      <c r="D367" s="195"/>
      <c r="E367" s="196"/>
      <c r="F367" s="195"/>
      <c r="G367" s="185"/>
      <c r="H367" s="118"/>
      <c r="I367" s="199"/>
    </row>
    <row r="368" spans="2:9" hidden="1" x14ac:dyDescent="0.25">
      <c r="B368" s="196"/>
      <c r="C368" s="185"/>
      <c r="D368" s="195"/>
      <c r="E368" s="196"/>
      <c r="F368" s="195"/>
      <c r="G368" s="185"/>
      <c r="H368" s="118"/>
      <c r="I368" s="199"/>
    </row>
    <row r="369" spans="2:9" hidden="1" x14ac:dyDescent="0.25">
      <c r="B369" s="196"/>
      <c r="C369" s="185"/>
      <c r="D369" s="195"/>
      <c r="E369" s="196"/>
      <c r="F369" s="195"/>
      <c r="G369" s="185"/>
      <c r="H369" s="118"/>
      <c r="I369" s="199"/>
    </row>
    <row r="370" spans="2:9" hidden="1" x14ac:dyDescent="0.25">
      <c r="B370" s="196"/>
      <c r="C370" s="185"/>
      <c r="D370" s="195"/>
      <c r="E370" s="196"/>
      <c r="F370" s="195"/>
      <c r="G370" s="185"/>
      <c r="H370" s="118"/>
      <c r="I370" s="199"/>
    </row>
    <row r="371" spans="2:9" hidden="1" x14ac:dyDescent="0.25">
      <c r="B371" s="260"/>
      <c r="C371" s="106"/>
      <c r="D371" s="261"/>
      <c r="E371" s="260"/>
      <c r="F371" s="261"/>
      <c r="G371" s="106"/>
      <c r="H371" s="280"/>
      <c r="I371" s="105"/>
    </row>
    <row r="372" spans="2:9" hidden="1" x14ac:dyDescent="0.25">
      <c r="F372" s="328">
        <f>SUM(F293:F371)</f>
        <v>35422.377</v>
      </c>
    </row>
    <row r="373" spans="2:9" hidden="1" x14ac:dyDescent="0.25"/>
    <row r="374" spans="2:9" x14ac:dyDescent="0.25">
      <c r="F374" s="328">
        <f>SUBTOTAL(9,F51:F261)</f>
        <v>19716.149999999998</v>
      </c>
    </row>
    <row r="375" spans="2:9" ht="30" x14ac:dyDescent="0.25">
      <c r="B375" s="330">
        <v>42174</v>
      </c>
      <c r="C375" s="106"/>
      <c r="D375" s="331">
        <v>1520</v>
      </c>
      <c r="E375" s="332">
        <v>1</v>
      </c>
      <c r="F375" s="331">
        <f>D375*E375</f>
        <v>1520</v>
      </c>
      <c r="G375" s="333" t="s">
        <v>665</v>
      </c>
      <c r="H375" s="100" t="s">
        <v>513</v>
      </c>
      <c r="I375" s="334">
        <v>88</v>
      </c>
    </row>
    <row r="376" spans="2:9" x14ac:dyDescent="0.25">
      <c r="F376" s="335">
        <f>F374+F375</f>
        <v>21236.149999999998</v>
      </c>
    </row>
    <row r="452" spans="2:3" hidden="1" x14ac:dyDescent="0.25">
      <c r="B452" s="191">
        <v>57500</v>
      </c>
      <c r="C452" s="214">
        <f>B452/1.15</f>
        <v>50000.000000000007</v>
      </c>
    </row>
    <row r="453" spans="2:3" hidden="1" x14ac:dyDescent="0.25">
      <c r="B453" s="191">
        <v>23000</v>
      </c>
      <c r="C453" s="214">
        <f>B453/1.15</f>
        <v>20000</v>
      </c>
    </row>
    <row r="454" spans="2:3" hidden="1" x14ac:dyDescent="0.25"/>
    <row r="455" spans="2:3" ht="45" hidden="1" x14ac:dyDescent="0.25">
      <c r="B455" s="191" t="s">
        <v>666</v>
      </c>
      <c r="C455" s="214">
        <v>15000</v>
      </c>
    </row>
    <row r="456" spans="2:3" ht="45" hidden="1" x14ac:dyDescent="0.25">
      <c r="B456" s="191" t="s">
        <v>667</v>
      </c>
      <c r="C456" s="214">
        <v>30000</v>
      </c>
    </row>
    <row r="457" spans="2:3" ht="30" hidden="1" x14ac:dyDescent="0.25">
      <c r="B457" s="191" t="s">
        <v>668</v>
      </c>
      <c r="C457" s="214">
        <f>500+2000+4000+3000+4000+4000</f>
        <v>17500</v>
      </c>
    </row>
    <row r="458" spans="2:3" hidden="1" x14ac:dyDescent="0.25">
      <c r="B458" s="191" t="s">
        <v>115</v>
      </c>
      <c r="C458" s="214">
        <f>C452+C453-C455-C456-C457</f>
        <v>7500</v>
      </c>
    </row>
  </sheetData>
  <autoFilter ref="C1:C373">
    <filterColumn colId="0">
      <filters>
        <filter val="Отопление"/>
        <filter val="Отопление рм"/>
      </filters>
    </filterColumn>
  </autoFilter>
  <mergeCells count="106">
    <mergeCell ref="I51:I73"/>
    <mergeCell ref="B76:B80"/>
    <mergeCell ref="H76:H80"/>
    <mergeCell ref="I76:I79"/>
    <mergeCell ref="B82:B88"/>
    <mergeCell ref="H82:H88"/>
    <mergeCell ref="I82:I88"/>
    <mergeCell ref="B100:B111"/>
    <mergeCell ref="H100:H111"/>
    <mergeCell ref="I100:I111"/>
    <mergeCell ref="B112:B114"/>
    <mergeCell ref="H112:H116"/>
    <mergeCell ref="I112:I114"/>
    <mergeCell ref="B89:B94"/>
    <mergeCell ref="H89:H94"/>
    <mergeCell ref="I89:I94"/>
    <mergeCell ref="B95:B99"/>
    <mergeCell ref="H95:H99"/>
    <mergeCell ref="I95:I99"/>
    <mergeCell ref="B129:B132"/>
    <mergeCell ref="H129:H132"/>
    <mergeCell ref="I129:I132"/>
    <mergeCell ref="B135:B151"/>
    <mergeCell ref="I135:I151"/>
    <mergeCell ref="B153:B162"/>
    <mergeCell ref="I153:I162"/>
    <mergeCell ref="B117:B121"/>
    <mergeCell ref="H117:H121"/>
    <mergeCell ref="I117:I121"/>
    <mergeCell ref="B122:B127"/>
    <mergeCell ref="H122:H127"/>
    <mergeCell ref="I122:I127"/>
    <mergeCell ref="B190:B202"/>
    <mergeCell ref="H190:H202"/>
    <mergeCell ref="I190:I202"/>
    <mergeCell ref="B203:B204"/>
    <mergeCell ref="H203:H207"/>
    <mergeCell ref="I203:I207"/>
    <mergeCell ref="B163:B173"/>
    <mergeCell ref="H163:H173"/>
    <mergeCell ref="I163:I173"/>
    <mergeCell ref="B174:B179"/>
    <mergeCell ref="I174:I179"/>
    <mergeCell ref="B180:B182"/>
    <mergeCell ref="H180:H182"/>
    <mergeCell ref="I180:I182"/>
    <mergeCell ref="H223:H225"/>
    <mergeCell ref="H226:H230"/>
    <mergeCell ref="I226:I230"/>
    <mergeCell ref="B227:B229"/>
    <mergeCell ref="B231:B232"/>
    <mergeCell ref="H231:H233"/>
    <mergeCell ref="I231:I233"/>
    <mergeCell ref="H208:H211"/>
    <mergeCell ref="I208:I211"/>
    <mergeCell ref="B213:B215"/>
    <mergeCell ref="H213:H222"/>
    <mergeCell ref="I213:I222"/>
    <mergeCell ref="B216:B218"/>
    <mergeCell ref="B219:B221"/>
    <mergeCell ref="J243:J244"/>
    <mergeCell ref="B248:B256"/>
    <mergeCell ref="H248:H256"/>
    <mergeCell ref="I248:I256"/>
    <mergeCell ref="B257:B259"/>
    <mergeCell ref="H257:H259"/>
    <mergeCell ref="I257:I259"/>
    <mergeCell ref="B235:B239"/>
    <mergeCell ref="H235:H239"/>
    <mergeCell ref="I235:I239"/>
    <mergeCell ref="B240:B246"/>
    <mergeCell ref="H240:H246"/>
    <mergeCell ref="I240:I246"/>
    <mergeCell ref="B276:B288"/>
    <mergeCell ref="H276:H288"/>
    <mergeCell ref="I276:I288"/>
    <mergeCell ref="B293:B295"/>
    <mergeCell ref="H293:H295"/>
    <mergeCell ref="I293:I295"/>
    <mergeCell ref="B263:B267"/>
    <mergeCell ref="H263:H267"/>
    <mergeCell ref="I263:I267"/>
    <mergeCell ref="B271:B275"/>
    <mergeCell ref="H271:H275"/>
    <mergeCell ref="I271:I275"/>
    <mergeCell ref="B318:B320"/>
    <mergeCell ref="H318:H320"/>
    <mergeCell ref="I318:I320"/>
    <mergeCell ref="B323:B336"/>
    <mergeCell ref="H323:H336"/>
    <mergeCell ref="I323:I336"/>
    <mergeCell ref="B301:B305"/>
    <mergeCell ref="H301:H305"/>
    <mergeCell ref="I301:I305"/>
    <mergeCell ref="B306:B317"/>
    <mergeCell ref="H306:H317"/>
    <mergeCell ref="I306:I317"/>
    <mergeCell ref="B354:B355"/>
    <mergeCell ref="H354:H355"/>
    <mergeCell ref="I354:I355"/>
    <mergeCell ref="B337:B342"/>
    <mergeCell ref="H337:H342"/>
    <mergeCell ref="I337:I342"/>
    <mergeCell ref="B346:B353"/>
    <mergeCell ref="H346:H353"/>
    <mergeCell ref="I346:I353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74"/>
  <sheetViews>
    <sheetView topLeftCell="B1" workbookViewId="0">
      <selection activeCell="M280" sqref="M280"/>
    </sheetView>
  </sheetViews>
  <sheetFormatPr defaultRowHeight="15" x14ac:dyDescent="0.25"/>
  <cols>
    <col min="1" max="1" width="11.5703125" style="191" hidden="1" customWidth="1"/>
    <col min="2" max="2" width="13.140625" style="191" customWidth="1"/>
    <col min="3" max="3" width="23.28515625" style="214" customWidth="1"/>
    <col min="4" max="4" width="9.85546875" style="191" customWidth="1"/>
    <col min="5" max="5" width="10.85546875" style="191" customWidth="1"/>
    <col min="6" max="6" width="12.28515625" style="346" customWidth="1"/>
    <col min="7" max="7" width="48.85546875" style="214" customWidth="1"/>
    <col min="8" max="8" width="26" style="164" customWidth="1"/>
    <col min="9" max="9" width="10.85546875" style="329" customWidth="1"/>
    <col min="10" max="16384" width="9.140625" style="164"/>
  </cols>
  <sheetData>
    <row r="1" spans="1:9" ht="42.75" customHeight="1" thickBot="1" x14ac:dyDescent="0.3">
      <c r="A1" s="105" t="s">
        <v>274</v>
      </c>
      <c r="B1" s="105" t="s">
        <v>117</v>
      </c>
      <c r="C1" s="106" t="s">
        <v>200</v>
      </c>
      <c r="D1" s="105" t="s">
        <v>119</v>
      </c>
      <c r="E1" s="105" t="s">
        <v>120</v>
      </c>
      <c r="F1" s="336" t="s">
        <v>121</v>
      </c>
      <c r="G1" s="105" t="s">
        <v>225</v>
      </c>
      <c r="H1" s="107" t="s">
        <v>226</v>
      </c>
      <c r="I1" s="107" t="s">
        <v>143</v>
      </c>
    </row>
    <row r="2" spans="1:9" ht="15.75" hidden="1" thickBot="1" x14ac:dyDescent="0.3">
      <c r="A2" s="283">
        <v>50</v>
      </c>
      <c r="B2" s="261"/>
      <c r="C2" s="269"/>
      <c r="D2" s="261"/>
      <c r="E2" s="261"/>
      <c r="F2" s="283"/>
      <c r="G2" s="106" t="s">
        <v>323</v>
      </c>
      <c r="H2" s="280"/>
      <c r="I2" s="105"/>
    </row>
    <row r="3" spans="1:9" ht="15.75" hidden="1" thickBot="1" x14ac:dyDescent="0.3">
      <c r="A3" s="283">
        <v>200</v>
      </c>
      <c r="B3" s="261"/>
      <c r="C3" s="269"/>
      <c r="D3" s="261"/>
      <c r="E3" s="261"/>
      <c r="F3" s="283"/>
      <c r="G3" s="106" t="s">
        <v>324</v>
      </c>
      <c r="H3" s="280"/>
      <c r="I3" s="105"/>
    </row>
    <row r="4" spans="1:9" ht="15.75" hidden="1" thickBot="1" x14ac:dyDescent="0.3">
      <c r="A4" s="283">
        <v>59</v>
      </c>
      <c r="B4" s="261"/>
      <c r="C4" s="269"/>
      <c r="D4" s="261"/>
      <c r="E4" s="261"/>
      <c r="F4" s="283"/>
      <c r="G4" s="106" t="s">
        <v>325</v>
      </c>
      <c r="H4" s="280"/>
      <c r="I4" s="105"/>
    </row>
    <row r="5" spans="1:9" ht="15.75" hidden="1" thickBot="1" x14ac:dyDescent="0.3">
      <c r="A5" s="283">
        <v>30</v>
      </c>
      <c r="B5" s="261"/>
      <c r="C5" s="269"/>
      <c r="D5" s="261"/>
      <c r="E5" s="261"/>
      <c r="F5" s="283"/>
      <c r="G5" s="106" t="s">
        <v>326</v>
      </c>
      <c r="H5" s="280"/>
      <c r="I5" s="105"/>
    </row>
    <row r="6" spans="1:9" ht="15.75" hidden="1" thickBot="1" x14ac:dyDescent="0.3">
      <c r="A6" s="283">
        <v>400</v>
      </c>
      <c r="B6" s="261"/>
      <c r="C6" s="269"/>
      <c r="D6" s="261"/>
      <c r="E6" s="261"/>
      <c r="F6" s="283"/>
      <c r="G6" s="106" t="s">
        <v>327</v>
      </c>
      <c r="H6" s="280"/>
      <c r="I6" s="105"/>
    </row>
    <row r="7" spans="1:9" ht="15.75" hidden="1" thickBot="1" x14ac:dyDescent="0.3">
      <c r="A7" s="283">
        <v>300</v>
      </c>
      <c r="B7" s="261"/>
      <c r="C7" s="269"/>
      <c r="D7" s="261"/>
      <c r="E7" s="261"/>
      <c r="F7" s="283"/>
      <c r="G7" s="106" t="s">
        <v>328</v>
      </c>
      <c r="H7" s="280"/>
      <c r="I7" s="105"/>
    </row>
    <row r="8" spans="1:9" ht="15.75" hidden="1" thickBot="1" x14ac:dyDescent="0.3">
      <c r="A8" s="283">
        <v>160</v>
      </c>
      <c r="B8" s="261"/>
      <c r="C8" s="269"/>
      <c r="D8" s="261"/>
      <c r="E8" s="261"/>
      <c r="F8" s="283"/>
      <c r="G8" s="106" t="s">
        <v>329</v>
      </c>
      <c r="H8" s="280"/>
      <c r="I8" s="105"/>
    </row>
    <row r="9" spans="1:9" ht="15" hidden="1" customHeight="1" x14ac:dyDescent="0.25">
      <c r="A9" s="283">
        <v>200</v>
      </c>
      <c r="B9" s="261"/>
      <c r="C9" s="269"/>
      <c r="D9" s="261"/>
      <c r="E9" s="261"/>
      <c r="F9" s="283"/>
      <c r="G9" s="106" t="s">
        <v>330</v>
      </c>
      <c r="H9" s="280"/>
      <c r="I9" s="105"/>
    </row>
    <row r="10" spans="1:9" ht="15.75" hidden="1" thickBot="1" x14ac:dyDescent="0.3">
      <c r="A10" s="283">
        <v>90</v>
      </c>
      <c r="B10" s="261"/>
      <c r="C10" s="269"/>
      <c r="D10" s="261"/>
      <c r="E10" s="261"/>
      <c r="F10" s="283"/>
      <c r="G10" s="106" t="s">
        <v>331</v>
      </c>
      <c r="H10" s="280"/>
      <c r="I10" s="105"/>
    </row>
    <row r="11" spans="1:9" ht="15.75" hidden="1" thickBot="1" x14ac:dyDescent="0.3">
      <c r="A11" s="283">
        <v>15</v>
      </c>
      <c r="B11" s="261"/>
      <c r="C11" s="269"/>
      <c r="D11" s="261"/>
      <c r="E11" s="261"/>
      <c r="F11" s="283"/>
      <c r="G11" s="106" t="s">
        <v>332</v>
      </c>
      <c r="H11" s="280"/>
      <c r="I11" s="105"/>
    </row>
    <row r="12" spans="1:9" ht="15.75" hidden="1" thickBot="1" x14ac:dyDescent="0.3">
      <c r="A12" s="283">
        <v>140</v>
      </c>
      <c r="B12" s="261"/>
      <c r="C12" s="269"/>
      <c r="D12" s="261"/>
      <c r="E12" s="261"/>
      <c r="F12" s="283"/>
      <c r="G12" s="106" t="s">
        <v>333</v>
      </c>
      <c r="H12" s="280"/>
      <c r="I12" s="105"/>
    </row>
    <row r="13" spans="1:9" ht="15.75" hidden="1" thickBot="1" x14ac:dyDescent="0.3">
      <c r="A13" s="283">
        <v>180</v>
      </c>
      <c r="B13" s="261"/>
      <c r="C13" s="269"/>
      <c r="D13" s="261"/>
      <c r="E13" s="261"/>
      <c r="F13" s="283"/>
      <c r="G13" s="106" t="s">
        <v>334</v>
      </c>
      <c r="H13" s="280"/>
      <c r="I13" s="105"/>
    </row>
    <row r="14" spans="1:9" ht="15.75" hidden="1" thickBot="1" x14ac:dyDescent="0.3">
      <c r="A14" s="283">
        <v>190</v>
      </c>
      <c r="B14" s="261"/>
      <c r="C14" s="269"/>
      <c r="D14" s="261"/>
      <c r="E14" s="261"/>
      <c r="F14" s="283"/>
      <c r="G14" s="106" t="s">
        <v>335</v>
      </c>
      <c r="H14" s="280"/>
      <c r="I14" s="105"/>
    </row>
    <row r="15" spans="1:9" ht="15.75" hidden="1" thickBot="1" x14ac:dyDescent="0.3">
      <c r="A15" s="283">
        <v>235</v>
      </c>
      <c r="B15" s="261"/>
      <c r="C15" s="269"/>
      <c r="D15" s="261"/>
      <c r="E15" s="261"/>
      <c r="F15" s="283"/>
      <c r="G15" s="106" t="s">
        <v>336</v>
      </c>
      <c r="H15" s="280"/>
      <c r="I15" s="105"/>
    </row>
    <row r="16" spans="1:9" ht="15.75" hidden="1" thickBot="1" x14ac:dyDescent="0.3">
      <c r="A16" s="283">
        <v>158</v>
      </c>
      <c r="B16" s="261"/>
      <c r="C16" s="269"/>
      <c r="D16" s="261"/>
      <c r="E16" s="261"/>
      <c r="F16" s="283"/>
      <c r="G16" s="106" t="s">
        <v>337</v>
      </c>
      <c r="H16" s="280"/>
      <c r="I16" s="105"/>
    </row>
    <row r="17" spans="1:9" ht="15.75" hidden="1" thickBot="1" x14ac:dyDescent="0.3">
      <c r="A17" s="283">
        <v>192</v>
      </c>
      <c r="B17" s="261"/>
      <c r="C17" s="269"/>
      <c r="D17" s="261"/>
      <c r="E17" s="261"/>
      <c r="F17" s="283"/>
      <c r="G17" s="106" t="s">
        <v>338</v>
      </c>
      <c r="H17" s="280"/>
      <c r="I17" s="105"/>
    </row>
    <row r="18" spans="1:9" ht="15.75" hidden="1" thickBot="1" x14ac:dyDescent="0.3">
      <c r="A18" s="283">
        <v>76</v>
      </c>
      <c r="B18" s="261"/>
      <c r="C18" s="269"/>
      <c r="D18" s="261"/>
      <c r="E18" s="261"/>
      <c r="F18" s="283"/>
      <c r="G18" s="106" t="s">
        <v>339</v>
      </c>
      <c r="H18" s="280"/>
      <c r="I18" s="105"/>
    </row>
    <row r="19" spans="1:9" ht="15.75" hidden="1" thickBot="1" x14ac:dyDescent="0.3">
      <c r="A19" s="283">
        <v>144</v>
      </c>
      <c r="B19" s="261"/>
      <c r="C19" s="269"/>
      <c r="D19" s="261"/>
      <c r="E19" s="261"/>
      <c r="F19" s="283"/>
      <c r="G19" s="106" t="s">
        <v>340</v>
      </c>
      <c r="H19" s="280"/>
      <c r="I19" s="105"/>
    </row>
    <row r="20" spans="1:9" ht="15.75" hidden="1" thickBot="1" x14ac:dyDescent="0.3">
      <c r="A20" s="283">
        <v>106</v>
      </c>
      <c r="B20" s="261"/>
      <c r="C20" s="269"/>
      <c r="D20" s="261"/>
      <c r="E20" s="261"/>
      <c r="F20" s="283"/>
      <c r="G20" s="106" t="s">
        <v>341</v>
      </c>
      <c r="H20" s="280"/>
      <c r="I20" s="105"/>
    </row>
    <row r="21" spans="1:9" ht="15.75" hidden="1" thickBot="1" x14ac:dyDescent="0.3">
      <c r="A21" s="283">
        <v>190</v>
      </c>
      <c r="B21" s="261"/>
      <c r="C21" s="269"/>
      <c r="D21" s="261"/>
      <c r="E21" s="261"/>
      <c r="F21" s="283"/>
      <c r="G21" s="106" t="s">
        <v>342</v>
      </c>
      <c r="H21" s="280"/>
      <c r="I21" s="105"/>
    </row>
    <row r="22" spans="1:9" ht="15.75" hidden="1" thickBot="1" x14ac:dyDescent="0.3">
      <c r="A22" s="283">
        <v>5000</v>
      </c>
      <c r="B22" s="261"/>
      <c r="C22" s="269"/>
      <c r="D22" s="261"/>
      <c r="E22" s="261"/>
      <c r="F22" s="283"/>
      <c r="G22" s="106" t="s">
        <v>343</v>
      </c>
      <c r="H22" s="280"/>
      <c r="I22" s="105"/>
    </row>
    <row r="23" spans="1:9" ht="15.75" hidden="1" thickBot="1" x14ac:dyDescent="0.3">
      <c r="A23" s="283">
        <v>2197</v>
      </c>
      <c r="B23" s="261"/>
      <c r="C23" s="269"/>
      <c r="D23" s="261"/>
      <c r="E23" s="261"/>
      <c r="F23" s="283"/>
      <c r="G23" s="106" t="s">
        <v>344</v>
      </c>
      <c r="H23" s="280"/>
      <c r="I23" s="105"/>
    </row>
    <row r="24" spans="1:9" ht="15.75" hidden="1" thickBot="1" x14ac:dyDescent="0.3">
      <c r="A24" s="283">
        <v>1300</v>
      </c>
      <c r="B24" s="261"/>
      <c r="C24" s="269"/>
      <c r="D24" s="261"/>
      <c r="E24" s="261"/>
      <c r="F24" s="283"/>
      <c r="G24" s="106" t="s">
        <v>345</v>
      </c>
      <c r="H24" s="280"/>
      <c r="I24" s="105"/>
    </row>
    <row r="25" spans="1:9" ht="15.75" hidden="1" thickBot="1" x14ac:dyDescent="0.3">
      <c r="A25" s="283">
        <v>7915.86</v>
      </c>
      <c r="B25" s="261"/>
      <c r="C25" s="269"/>
      <c r="D25" s="261"/>
      <c r="E25" s="261"/>
      <c r="F25" s="283"/>
      <c r="G25" s="106" t="s">
        <v>346</v>
      </c>
      <c r="H25" s="280"/>
      <c r="I25" s="105"/>
    </row>
    <row r="26" spans="1:9" ht="15.75" hidden="1" thickBot="1" x14ac:dyDescent="0.3">
      <c r="A26" s="283">
        <v>6444</v>
      </c>
      <c r="B26" s="261"/>
      <c r="C26" s="269"/>
      <c r="D26" s="261"/>
      <c r="E26" s="261"/>
      <c r="F26" s="283"/>
      <c r="G26" s="106" t="s">
        <v>347</v>
      </c>
      <c r="H26" s="280"/>
      <c r="I26" s="105"/>
    </row>
    <row r="27" spans="1:9" ht="15.75" hidden="1" thickBot="1" x14ac:dyDescent="0.3">
      <c r="A27" s="283">
        <v>4355</v>
      </c>
      <c r="B27" s="261"/>
      <c r="C27" s="269"/>
      <c r="D27" s="261"/>
      <c r="E27" s="261"/>
      <c r="F27" s="283"/>
      <c r="G27" s="106" t="s">
        <v>348</v>
      </c>
      <c r="H27" s="280"/>
      <c r="I27" s="105"/>
    </row>
    <row r="28" spans="1:9" ht="15.75" hidden="1" thickBot="1" x14ac:dyDescent="0.3">
      <c r="A28" s="283">
        <v>1696</v>
      </c>
      <c r="B28" s="261"/>
      <c r="C28" s="269"/>
      <c r="D28" s="261"/>
      <c r="E28" s="261"/>
      <c r="F28" s="283"/>
      <c r="G28" s="106" t="s">
        <v>349</v>
      </c>
      <c r="H28" s="280"/>
      <c r="I28" s="105"/>
    </row>
    <row r="29" spans="1:9" ht="15.75" hidden="1" thickBot="1" x14ac:dyDescent="0.3">
      <c r="A29" s="283">
        <v>990</v>
      </c>
      <c r="B29" s="261"/>
      <c r="C29" s="269"/>
      <c r="D29" s="261"/>
      <c r="E29" s="261"/>
      <c r="F29" s="283"/>
      <c r="G29" s="106" t="s">
        <v>350</v>
      </c>
      <c r="H29" s="280"/>
      <c r="I29" s="105"/>
    </row>
    <row r="30" spans="1:9" ht="15.75" hidden="1" thickBot="1" x14ac:dyDescent="0.3">
      <c r="A30" s="283">
        <v>380</v>
      </c>
      <c r="B30" s="261"/>
      <c r="C30" s="269"/>
      <c r="D30" s="261"/>
      <c r="E30" s="261"/>
      <c r="F30" s="283"/>
      <c r="G30" s="106" t="s">
        <v>351</v>
      </c>
      <c r="H30" s="280"/>
      <c r="I30" s="105"/>
    </row>
    <row r="31" spans="1:9" ht="15.75" hidden="1" thickBot="1" x14ac:dyDescent="0.3">
      <c r="A31" s="283">
        <v>627</v>
      </c>
      <c r="B31" s="261"/>
      <c r="C31" s="269"/>
      <c r="D31" s="261"/>
      <c r="E31" s="261"/>
      <c r="F31" s="283"/>
      <c r="G31" s="106" t="s">
        <v>352</v>
      </c>
      <c r="H31" s="280"/>
      <c r="I31" s="105"/>
    </row>
    <row r="32" spans="1:9" ht="15.75" hidden="1" thickBot="1" x14ac:dyDescent="0.3">
      <c r="A32" s="283">
        <v>20</v>
      </c>
      <c r="B32" s="261"/>
      <c r="C32" s="269"/>
      <c r="D32" s="261"/>
      <c r="E32" s="261"/>
      <c r="F32" s="283"/>
      <c r="G32" s="106" t="s">
        <v>353</v>
      </c>
      <c r="H32" s="280"/>
      <c r="I32" s="105"/>
    </row>
    <row r="33" spans="1:9" ht="15.75" hidden="1" thickBot="1" x14ac:dyDescent="0.3">
      <c r="A33" s="283">
        <v>33</v>
      </c>
      <c r="B33" s="261"/>
      <c r="C33" s="269"/>
      <c r="D33" s="261"/>
      <c r="E33" s="261"/>
      <c r="F33" s="283"/>
      <c r="G33" s="106" t="s">
        <v>354</v>
      </c>
      <c r="H33" s="280"/>
      <c r="I33" s="105"/>
    </row>
    <row r="34" spans="1:9" ht="14.25" hidden="1" customHeight="1" x14ac:dyDescent="0.25">
      <c r="A34" s="283">
        <v>212</v>
      </c>
      <c r="B34" s="261"/>
      <c r="C34" s="269"/>
      <c r="D34" s="261"/>
      <c r="E34" s="261"/>
      <c r="F34" s="283"/>
      <c r="G34" s="106" t="s">
        <v>355</v>
      </c>
      <c r="H34" s="280"/>
      <c r="I34" s="105"/>
    </row>
    <row r="35" spans="1:9" ht="15.75" hidden="1" thickBot="1" x14ac:dyDescent="0.3">
      <c r="A35" s="283">
        <v>776</v>
      </c>
      <c r="B35" s="261"/>
      <c r="C35" s="269"/>
      <c r="D35" s="261"/>
      <c r="E35" s="261"/>
      <c r="F35" s="283"/>
      <c r="G35" s="106" t="s">
        <v>356</v>
      </c>
      <c r="H35" s="280"/>
      <c r="I35" s="105"/>
    </row>
    <row r="36" spans="1:9" ht="15.75" hidden="1" thickBot="1" x14ac:dyDescent="0.3">
      <c r="A36" s="283">
        <v>50</v>
      </c>
      <c r="B36" s="261"/>
      <c r="C36" s="269"/>
      <c r="D36" s="261"/>
      <c r="E36" s="261"/>
      <c r="F36" s="283"/>
      <c r="G36" s="106" t="s">
        <v>357</v>
      </c>
      <c r="H36" s="280"/>
      <c r="I36" s="105"/>
    </row>
    <row r="37" spans="1:9" ht="15.75" hidden="1" thickBot="1" x14ac:dyDescent="0.3">
      <c r="A37" s="283">
        <v>295</v>
      </c>
      <c r="B37" s="261"/>
      <c r="C37" s="269"/>
      <c r="D37" s="261"/>
      <c r="E37" s="261"/>
      <c r="F37" s="283"/>
      <c r="G37" s="106" t="s">
        <v>358</v>
      </c>
      <c r="H37" s="280"/>
      <c r="I37" s="105"/>
    </row>
    <row r="38" spans="1:9" ht="15.75" hidden="1" thickBot="1" x14ac:dyDescent="0.3">
      <c r="A38" s="283">
        <v>3693</v>
      </c>
      <c r="B38" s="261"/>
      <c r="C38" s="269"/>
      <c r="D38" s="261"/>
      <c r="E38" s="261"/>
      <c r="F38" s="283"/>
      <c r="G38" s="106" t="s">
        <v>347</v>
      </c>
      <c r="H38" s="280"/>
      <c r="I38" s="105"/>
    </row>
    <row r="39" spans="1:9" ht="15.75" hidden="1" thickBot="1" x14ac:dyDescent="0.3">
      <c r="A39" s="283">
        <v>625.23</v>
      </c>
      <c r="B39" s="261"/>
      <c r="C39" s="269"/>
      <c r="D39" s="261"/>
      <c r="E39" s="261"/>
      <c r="F39" s="283"/>
      <c r="G39" s="106" t="s">
        <v>359</v>
      </c>
      <c r="H39" s="280"/>
      <c r="I39" s="105"/>
    </row>
    <row r="40" spans="1:9" ht="15.75" hidden="1" thickBot="1" x14ac:dyDescent="0.3">
      <c r="A40" s="283">
        <v>1235</v>
      </c>
      <c r="B40" s="261"/>
      <c r="C40" s="269"/>
      <c r="D40" s="261"/>
      <c r="E40" s="261"/>
      <c r="F40" s="283"/>
      <c r="G40" s="106" t="s">
        <v>360</v>
      </c>
      <c r="H40" s="280"/>
      <c r="I40" s="105"/>
    </row>
    <row r="41" spans="1:9" ht="15.75" hidden="1" thickBot="1" x14ac:dyDescent="0.3">
      <c r="A41" s="283">
        <v>910</v>
      </c>
      <c r="B41" s="261"/>
      <c r="C41" s="269"/>
      <c r="D41" s="261"/>
      <c r="E41" s="261"/>
      <c r="F41" s="283"/>
      <c r="G41" s="106" t="s">
        <v>361</v>
      </c>
      <c r="H41" s="280"/>
      <c r="I41" s="105"/>
    </row>
    <row r="42" spans="1:9" ht="15.75" hidden="1" thickBot="1" x14ac:dyDescent="0.3">
      <c r="A42" s="283">
        <v>129.55000000000001</v>
      </c>
      <c r="B42" s="261"/>
      <c r="C42" s="269"/>
      <c r="D42" s="261"/>
      <c r="E42" s="261"/>
      <c r="F42" s="283"/>
      <c r="G42" s="106" t="s">
        <v>362</v>
      </c>
      <c r="H42" s="280"/>
      <c r="I42" s="105"/>
    </row>
    <row r="43" spans="1:9" ht="15.75" hidden="1" thickBot="1" x14ac:dyDescent="0.3">
      <c r="A43" s="283">
        <v>10.33</v>
      </c>
      <c r="B43" s="261"/>
      <c r="C43" s="269"/>
      <c r="D43" s="261"/>
      <c r="E43" s="261"/>
      <c r="F43" s="283"/>
      <c r="G43" s="106" t="s">
        <v>363</v>
      </c>
      <c r="H43" s="280"/>
      <c r="I43" s="105"/>
    </row>
    <row r="44" spans="1:9" ht="15.75" hidden="1" thickBot="1" x14ac:dyDescent="0.3">
      <c r="A44" s="283">
        <v>2503.8000000000002</v>
      </c>
      <c r="B44" s="261"/>
      <c r="C44" s="269"/>
      <c r="D44" s="261"/>
      <c r="E44" s="261"/>
      <c r="F44" s="283"/>
      <c r="G44" s="106" t="s">
        <v>364</v>
      </c>
      <c r="H44" s="280"/>
      <c r="I44" s="105"/>
    </row>
    <row r="45" spans="1:9" ht="15.75" hidden="1" thickBot="1" x14ac:dyDescent="0.3">
      <c r="A45" s="283">
        <v>500.19</v>
      </c>
      <c r="B45" s="261"/>
      <c r="C45" s="269"/>
      <c r="D45" s="261"/>
      <c r="E45" s="261"/>
      <c r="F45" s="283"/>
      <c r="G45" s="106" t="s">
        <v>359</v>
      </c>
      <c r="H45" s="280"/>
      <c r="I45" s="105"/>
    </row>
    <row r="46" spans="1:9" ht="15.75" hidden="1" thickBot="1" x14ac:dyDescent="0.3">
      <c r="A46" s="283">
        <v>578.63</v>
      </c>
      <c r="B46" s="261"/>
      <c r="C46" s="269"/>
      <c r="D46" s="261"/>
      <c r="E46" s="261"/>
      <c r="F46" s="283"/>
      <c r="G46" s="106" t="s">
        <v>365</v>
      </c>
      <c r="H46" s="280"/>
      <c r="I46" s="105"/>
    </row>
    <row r="47" spans="1:9" ht="15.75" hidden="1" thickBot="1" x14ac:dyDescent="0.3">
      <c r="A47" s="283">
        <v>16655</v>
      </c>
      <c r="B47" s="261"/>
      <c r="C47" s="269"/>
      <c r="D47" s="261"/>
      <c r="E47" s="261"/>
      <c r="F47" s="283"/>
      <c r="G47" s="106" t="s">
        <v>180</v>
      </c>
      <c r="H47" s="280"/>
      <c r="I47" s="105"/>
    </row>
    <row r="48" spans="1:9" ht="15.75" hidden="1" thickBot="1" x14ac:dyDescent="0.3">
      <c r="A48" s="283">
        <v>765</v>
      </c>
      <c r="B48" s="261"/>
      <c r="C48" s="269"/>
      <c r="D48" s="261"/>
      <c r="E48" s="261"/>
      <c r="F48" s="283"/>
      <c r="G48" s="106" t="s">
        <v>366</v>
      </c>
      <c r="H48" s="280"/>
      <c r="I48" s="105"/>
    </row>
    <row r="49" spans="1:9" ht="15.75" hidden="1" thickBot="1" x14ac:dyDescent="0.3">
      <c r="A49" s="283">
        <f>SUM(A2:A48)</f>
        <v>63011.590000000011</v>
      </c>
      <c r="B49" s="261"/>
      <c r="C49" s="269"/>
      <c r="D49" s="261"/>
      <c r="E49" s="261"/>
      <c r="F49" s="283"/>
      <c r="G49" s="106" t="s">
        <v>276</v>
      </c>
      <c r="H49" s="280"/>
      <c r="I49" s="105"/>
    </row>
    <row r="50" spans="1:9" ht="15.75" hidden="1" thickBot="1" x14ac:dyDescent="0.3">
      <c r="A50" s="283"/>
      <c r="B50" s="227"/>
      <c r="C50" s="228"/>
      <c r="D50" s="227"/>
      <c r="E50" s="227"/>
      <c r="F50" s="229"/>
      <c r="G50" s="230"/>
      <c r="H50" s="231"/>
      <c r="I50" s="232"/>
    </row>
    <row r="51" spans="1:9" ht="15" hidden="1" customHeight="1" thickBot="1" x14ac:dyDescent="0.3">
      <c r="A51" s="233"/>
      <c r="B51" s="234">
        <v>42016</v>
      </c>
      <c r="C51" s="235" t="s">
        <v>367</v>
      </c>
      <c r="D51" s="236"/>
      <c r="E51" s="236"/>
      <c r="F51" s="200">
        <v>950</v>
      </c>
      <c r="G51" s="181" t="s">
        <v>368</v>
      </c>
      <c r="H51" s="671" t="s">
        <v>369</v>
      </c>
      <c r="I51" s="675">
        <v>92</v>
      </c>
    </row>
    <row r="52" spans="1:9" ht="15.75" hidden="1" thickBot="1" x14ac:dyDescent="0.3">
      <c r="A52" s="233"/>
      <c r="B52" s="337">
        <v>42016</v>
      </c>
      <c r="C52" s="235" t="s">
        <v>367</v>
      </c>
      <c r="D52" s="338"/>
      <c r="E52" s="338"/>
      <c r="F52" s="261">
        <v>150</v>
      </c>
      <c r="G52" s="106" t="s">
        <v>370</v>
      </c>
      <c r="H52" s="658"/>
      <c r="I52" s="676"/>
    </row>
    <row r="53" spans="1:9" ht="15.75" hidden="1" thickBot="1" x14ac:dyDescent="0.3">
      <c r="A53" s="233"/>
      <c r="B53" s="337">
        <v>42016</v>
      </c>
      <c r="C53" s="235" t="s">
        <v>367</v>
      </c>
      <c r="D53" s="338"/>
      <c r="E53" s="338"/>
      <c r="F53" s="261">
        <v>500</v>
      </c>
      <c r="G53" s="106" t="s">
        <v>371</v>
      </c>
      <c r="H53" s="658"/>
      <c r="I53" s="676"/>
    </row>
    <row r="54" spans="1:9" ht="15.75" hidden="1" thickBot="1" x14ac:dyDescent="0.3">
      <c r="A54" s="233"/>
      <c r="B54" s="337">
        <v>42016</v>
      </c>
      <c r="C54" s="235" t="s">
        <v>367</v>
      </c>
      <c r="D54" s="338"/>
      <c r="E54" s="338"/>
      <c r="F54" s="261">
        <v>400</v>
      </c>
      <c r="G54" s="106" t="s">
        <v>371</v>
      </c>
      <c r="H54" s="658"/>
      <c r="I54" s="676"/>
    </row>
    <row r="55" spans="1:9" ht="15.75" hidden="1" thickBot="1" x14ac:dyDescent="0.3">
      <c r="A55" s="239"/>
      <c r="B55" s="339">
        <v>42018</v>
      </c>
      <c r="C55" s="235" t="s">
        <v>367</v>
      </c>
      <c r="D55" s="340"/>
      <c r="E55" s="340"/>
      <c r="F55" s="261">
        <v>146</v>
      </c>
      <c r="G55" s="106" t="s">
        <v>372</v>
      </c>
      <c r="H55" s="658"/>
      <c r="I55" s="676"/>
    </row>
    <row r="56" spans="1:9" ht="15" hidden="1" customHeight="1" thickBot="1" x14ac:dyDescent="0.3">
      <c r="A56" s="239"/>
      <c r="B56" s="339">
        <v>42025</v>
      </c>
      <c r="C56" s="235" t="s">
        <v>367</v>
      </c>
      <c r="D56" s="340"/>
      <c r="E56" s="340"/>
      <c r="F56" s="261">
        <v>600</v>
      </c>
      <c r="G56" s="106" t="s">
        <v>368</v>
      </c>
      <c r="H56" s="658"/>
      <c r="I56" s="676"/>
    </row>
    <row r="57" spans="1:9" ht="15.75" hidden="1" thickBot="1" x14ac:dyDescent="0.3">
      <c r="A57" s="239"/>
      <c r="B57" s="339">
        <v>42025</v>
      </c>
      <c r="C57" s="235" t="s">
        <v>367</v>
      </c>
      <c r="D57" s="340"/>
      <c r="E57" s="340"/>
      <c r="F57" s="261">
        <v>220</v>
      </c>
      <c r="G57" s="106" t="s">
        <v>373</v>
      </c>
      <c r="H57" s="658"/>
      <c r="I57" s="676"/>
    </row>
    <row r="58" spans="1:9" ht="15.75" hidden="1" thickBot="1" x14ac:dyDescent="0.3">
      <c r="A58" s="239"/>
      <c r="B58" s="339">
        <v>42025</v>
      </c>
      <c r="C58" s="235" t="s">
        <v>367</v>
      </c>
      <c r="D58" s="340"/>
      <c r="E58" s="340"/>
      <c r="F58" s="261">
        <v>40</v>
      </c>
      <c r="G58" s="106" t="s">
        <v>374</v>
      </c>
      <c r="H58" s="658"/>
      <c r="I58" s="676"/>
    </row>
    <row r="59" spans="1:9" ht="15.75" hidden="1" thickBot="1" x14ac:dyDescent="0.3">
      <c r="A59" s="239"/>
      <c r="B59" s="339">
        <v>42025</v>
      </c>
      <c r="C59" s="235" t="s">
        <v>367</v>
      </c>
      <c r="D59" s="340"/>
      <c r="E59" s="340"/>
      <c r="F59" s="261">
        <v>45</v>
      </c>
      <c r="G59" s="106" t="s">
        <v>375</v>
      </c>
      <c r="H59" s="658"/>
      <c r="I59" s="676"/>
    </row>
    <row r="60" spans="1:9" ht="15.75" hidden="1" thickBot="1" x14ac:dyDescent="0.3">
      <c r="A60" s="239"/>
      <c r="B60" s="339">
        <v>42025</v>
      </c>
      <c r="C60" s="235" t="s">
        <v>367</v>
      </c>
      <c r="D60" s="340"/>
      <c r="E60" s="340"/>
      <c r="F60" s="261">
        <v>40</v>
      </c>
      <c r="G60" s="106" t="s">
        <v>376</v>
      </c>
      <c r="H60" s="658"/>
      <c r="I60" s="676"/>
    </row>
    <row r="61" spans="1:9" ht="15.75" hidden="1" thickBot="1" x14ac:dyDescent="0.3">
      <c r="A61" s="239"/>
      <c r="B61" s="339">
        <v>42025</v>
      </c>
      <c r="C61" s="235" t="s">
        <v>367</v>
      </c>
      <c r="D61" s="340"/>
      <c r="E61" s="340"/>
      <c r="F61" s="261">
        <v>15</v>
      </c>
      <c r="G61" s="106" t="s">
        <v>377</v>
      </c>
      <c r="H61" s="658"/>
      <c r="I61" s="676"/>
    </row>
    <row r="62" spans="1:9" ht="15.75" hidden="1" thickBot="1" x14ac:dyDescent="0.3">
      <c r="A62" s="239"/>
      <c r="B62" s="339">
        <v>42025</v>
      </c>
      <c r="C62" s="235" t="s">
        <v>367</v>
      </c>
      <c r="D62" s="340"/>
      <c r="E62" s="340"/>
      <c r="F62" s="261">
        <v>300</v>
      </c>
      <c r="G62" s="106" t="s">
        <v>378</v>
      </c>
      <c r="H62" s="658"/>
      <c r="I62" s="676"/>
    </row>
    <row r="63" spans="1:9" ht="15.75" hidden="1" thickBot="1" x14ac:dyDescent="0.3">
      <c r="A63" s="239"/>
      <c r="B63" s="339">
        <v>42025</v>
      </c>
      <c r="C63" s="235" t="s">
        <v>367</v>
      </c>
      <c r="D63" s="340"/>
      <c r="E63" s="340"/>
      <c r="F63" s="261">
        <v>120</v>
      </c>
      <c r="G63" s="106" t="s">
        <v>379</v>
      </c>
      <c r="H63" s="658"/>
      <c r="I63" s="676"/>
    </row>
    <row r="64" spans="1:9" ht="15.75" hidden="1" thickBot="1" x14ac:dyDescent="0.3">
      <c r="A64" s="239"/>
      <c r="B64" s="339">
        <v>42025</v>
      </c>
      <c r="C64" s="235" t="s">
        <v>367</v>
      </c>
      <c r="D64" s="340"/>
      <c r="E64" s="340"/>
      <c r="F64" s="261">
        <v>200</v>
      </c>
      <c r="G64" s="106" t="s">
        <v>368</v>
      </c>
      <c r="H64" s="658"/>
      <c r="I64" s="676"/>
    </row>
    <row r="65" spans="1:9" ht="15.75" hidden="1" thickBot="1" x14ac:dyDescent="0.3">
      <c r="A65" s="239"/>
      <c r="B65" s="339">
        <v>42025</v>
      </c>
      <c r="C65" s="235" t="s">
        <v>367</v>
      </c>
      <c r="D65" s="340"/>
      <c r="E65" s="340"/>
      <c r="F65" s="261">
        <v>15</v>
      </c>
      <c r="G65" s="106" t="s">
        <v>371</v>
      </c>
      <c r="H65" s="658"/>
      <c r="I65" s="676"/>
    </row>
    <row r="66" spans="1:9" ht="15.75" hidden="1" thickBot="1" x14ac:dyDescent="0.3">
      <c r="A66" s="239"/>
      <c r="B66" s="339">
        <v>42025</v>
      </c>
      <c r="C66" s="235" t="s">
        <v>367</v>
      </c>
      <c r="D66" s="340"/>
      <c r="E66" s="340"/>
      <c r="F66" s="261">
        <v>750</v>
      </c>
      <c r="G66" s="106" t="s">
        <v>371</v>
      </c>
      <c r="H66" s="658"/>
      <c r="I66" s="676"/>
    </row>
    <row r="67" spans="1:9" ht="15.75" hidden="1" thickBot="1" x14ac:dyDescent="0.3">
      <c r="A67" s="239"/>
      <c r="B67" s="339">
        <v>42025</v>
      </c>
      <c r="C67" s="235" t="s">
        <v>367</v>
      </c>
      <c r="D67" s="340"/>
      <c r="E67" s="340"/>
      <c r="F67" s="261">
        <v>120</v>
      </c>
      <c r="G67" s="106" t="s">
        <v>375</v>
      </c>
      <c r="H67" s="658"/>
      <c r="I67" s="676"/>
    </row>
    <row r="68" spans="1:9" ht="15.75" hidden="1" thickBot="1" x14ac:dyDescent="0.3">
      <c r="A68" s="239"/>
      <c r="B68" s="339">
        <v>42025</v>
      </c>
      <c r="C68" s="235" t="s">
        <v>367</v>
      </c>
      <c r="D68" s="340"/>
      <c r="E68" s="340"/>
      <c r="F68" s="261">
        <v>70</v>
      </c>
      <c r="G68" s="106" t="s">
        <v>380</v>
      </c>
      <c r="H68" s="658"/>
      <c r="I68" s="676"/>
    </row>
    <row r="69" spans="1:9" ht="15.75" hidden="1" thickBot="1" x14ac:dyDescent="0.3">
      <c r="A69" s="239"/>
      <c r="B69" s="339">
        <v>42025</v>
      </c>
      <c r="C69" s="235" t="s">
        <v>367</v>
      </c>
      <c r="D69" s="340"/>
      <c r="E69" s="340"/>
      <c r="F69" s="261">
        <v>90</v>
      </c>
      <c r="G69" s="106" t="s">
        <v>375</v>
      </c>
      <c r="H69" s="658"/>
      <c r="I69" s="676"/>
    </row>
    <row r="70" spans="1:9" ht="15.75" hidden="1" thickBot="1" x14ac:dyDescent="0.3">
      <c r="A70" s="239"/>
      <c r="B70" s="339">
        <v>42030</v>
      </c>
      <c r="C70" s="235" t="s">
        <v>367</v>
      </c>
      <c r="D70" s="340"/>
      <c r="E70" s="340"/>
      <c r="F70" s="261">
        <v>150</v>
      </c>
      <c r="G70" s="106" t="s">
        <v>371</v>
      </c>
      <c r="H70" s="658"/>
      <c r="I70" s="676"/>
    </row>
    <row r="71" spans="1:9" ht="15.75" hidden="1" thickBot="1" x14ac:dyDescent="0.3">
      <c r="A71" s="239"/>
      <c r="B71" s="339">
        <v>42031</v>
      </c>
      <c r="C71" s="235" t="s">
        <v>367</v>
      </c>
      <c r="D71" s="340"/>
      <c r="E71" s="340"/>
      <c r="F71" s="261">
        <v>100</v>
      </c>
      <c r="G71" s="106" t="s">
        <v>381</v>
      </c>
      <c r="H71" s="658"/>
      <c r="I71" s="676"/>
    </row>
    <row r="72" spans="1:9" ht="15.75" hidden="1" thickBot="1" x14ac:dyDescent="0.3">
      <c r="A72" s="239"/>
      <c r="B72" s="339">
        <v>42032</v>
      </c>
      <c r="C72" s="235" t="s">
        <v>367</v>
      </c>
      <c r="D72" s="340"/>
      <c r="E72" s="340"/>
      <c r="F72" s="261">
        <v>147</v>
      </c>
      <c r="G72" s="106" t="s">
        <v>382</v>
      </c>
      <c r="H72" s="658"/>
      <c r="I72" s="676"/>
    </row>
    <row r="73" spans="1:9" ht="15.75" hidden="1" thickBot="1" x14ac:dyDescent="0.3">
      <c r="A73" s="239"/>
      <c r="B73" s="242"/>
      <c r="C73" s="243"/>
      <c r="D73" s="244"/>
      <c r="E73" s="244"/>
      <c r="F73" s="245"/>
      <c r="G73" s="246"/>
      <c r="H73" s="667"/>
      <c r="I73" s="677"/>
    </row>
    <row r="74" spans="1:9" ht="30.75" hidden="1" thickBot="1" x14ac:dyDescent="0.3">
      <c r="A74" s="239"/>
      <c r="B74" s="247">
        <v>42061</v>
      </c>
      <c r="C74" s="248" t="s">
        <v>383</v>
      </c>
      <c r="D74" s="203">
        <v>246</v>
      </c>
      <c r="E74" s="204">
        <v>1</v>
      </c>
      <c r="F74" s="203">
        <f>D74*E74</f>
        <v>246</v>
      </c>
      <c r="G74" s="205" t="s">
        <v>384</v>
      </c>
      <c r="H74" s="206" t="s">
        <v>185</v>
      </c>
      <c r="I74" s="249" t="s">
        <v>67</v>
      </c>
    </row>
    <row r="75" spans="1:9" ht="15.75" thickBot="1" x14ac:dyDescent="0.3">
      <c r="A75" s="239"/>
      <c r="B75" s="247">
        <v>42062</v>
      </c>
      <c r="C75" s="205" t="s">
        <v>385</v>
      </c>
      <c r="D75" s="204"/>
      <c r="E75" s="204"/>
      <c r="F75" s="297">
        <v>80</v>
      </c>
      <c r="G75" s="205" t="s">
        <v>386</v>
      </c>
      <c r="H75" s="206" t="s">
        <v>387</v>
      </c>
      <c r="I75" s="249" t="s">
        <v>67</v>
      </c>
    </row>
    <row r="76" spans="1:9" ht="15.75" thickBot="1" x14ac:dyDescent="0.3">
      <c r="A76" s="239"/>
      <c r="B76" s="672">
        <v>42082</v>
      </c>
      <c r="C76" s="235" t="s">
        <v>388</v>
      </c>
      <c r="D76" s="201"/>
      <c r="E76" s="201"/>
      <c r="F76" s="341">
        <v>800</v>
      </c>
      <c r="G76" s="181" t="s">
        <v>389</v>
      </c>
      <c r="H76" s="671" t="s">
        <v>390</v>
      </c>
      <c r="I76" s="675">
        <v>90</v>
      </c>
    </row>
    <row r="77" spans="1:9" ht="15.75" thickBot="1" x14ac:dyDescent="0.3">
      <c r="A77" s="239"/>
      <c r="B77" s="673"/>
      <c r="C77" s="235" t="s">
        <v>388</v>
      </c>
      <c r="D77" s="260"/>
      <c r="E77" s="260"/>
      <c r="F77" s="283">
        <v>200</v>
      </c>
      <c r="G77" s="106" t="s">
        <v>391</v>
      </c>
      <c r="H77" s="658"/>
      <c r="I77" s="676"/>
    </row>
    <row r="78" spans="1:9" ht="15.75" thickBot="1" x14ac:dyDescent="0.3">
      <c r="A78" s="239"/>
      <c r="B78" s="673"/>
      <c r="C78" s="235" t="s">
        <v>388</v>
      </c>
      <c r="D78" s="260"/>
      <c r="E78" s="260"/>
      <c r="F78" s="283">
        <v>600</v>
      </c>
      <c r="G78" s="106" t="s">
        <v>392</v>
      </c>
      <c r="H78" s="658"/>
      <c r="I78" s="676"/>
    </row>
    <row r="79" spans="1:9" ht="15.75" thickBot="1" x14ac:dyDescent="0.3">
      <c r="B79" s="673"/>
      <c r="C79" s="235" t="s">
        <v>388</v>
      </c>
      <c r="D79" s="216"/>
      <c r="E79" s="216"/>
      <c r="F79" s="342">
        <v>500</v>
      </c>
      <c r="G79" s="213" t="s">
        <v>393</v>
      </c>
      <c r="H79" s="658"/>
      <c r="I79" s="676"/>
    </row>
    <row r="80" spans="1:9" ht="15.75" hidden="1" thickBot="1" x14ac:dyDescent="0.3">
      <c r="B80" s="674"/>
      <c r="C80" s="250"/>
      <c r="D80" s="251"/>
      <c r="E80" s="251"/>
      <c r="F80" s="245"/>
      <c r="G80" s="246"/>
      <c r="H80" s="667"/>
      <c r="I80" s="252"/>
    </row>
    <row r="81" spans="2:9" ht="15.75" hidden="1" thickBot="1" x14ac:dyDescent="0.3">
      <c r="B81" s="253">
        <v>42103</v>
      </c>
      <c r="C81" s="248" t="s">
        <v>394</v>
      </c>
      <c r="D81" s="203">
        <v>8960</v>
      </c>
      <c r="E81" s="204">
        <v>1</v>
      </c>
      <c r="F81" s="203">
        <f>D81*E81</f>
        <v>8960</v>
      </c>
      <c r="G81" s="205" t="s">
        <v>395</v>
      </c>
      <c r="H81" s="206"/>
      <c r="I81" s="249">
        <v>90</v>
      </c>
    </row>
    <row r="82" spans="2:9" ht="15" customHeight="1" thickBot="1" x14ac:dyDescent="0.3">
      <c r="B82" s="672">
        <v>42103</v>
      </c>
      <c r="C82" s="235" t="s">
        <v>385</v>
      </c>
      <c r="D82" s="200">
        <v>300</v>
      </c>
      <c r="E82" s="201">
        <v>1</v>
      </c>
      <c r="F82" s="341">
        <f t="shared" ref="F82:F87" si="0">D82*E82</f>
        <v>300</v>
      </c>
      <c r="G82" s="181" t="s">
        <v>396</v>
      </c>
      <c r="H82" s="671" t="s">
        <v>397</v>
      </c>
      <c r="I82" s="675" t="s">
        <v>67</v>
      </c>
    </row>
    <row r="83" spans="2:9" ht="15.75" thickBot="1" x14ac:dyDescent="0.3">
      <c r="B83" s="673"/>
      <c r="C83" s="235" t="s">
        <v>385</v>
      </c>
      <c r="D83" s="261">
        <v>300</v>
      </c>
      <c r="E83" s="260">
        <v>1</v>
      </c>
      <c r="F83" s="283">
        <f t="shared" si="0"/>
        <v>300</v>
      </c>
      <c r="G83" s="106" t="s">
        <v>398</v>
      </c>
      <c r="H83" s="658"/>
      <c r="I83" s="676"/>
    </row>
    <row r="84" spans="2:9" ht="30.75" thickBot="1" x14ac:dyDescent="0.3">
      <c r="B84" s="673"/>
      <c r="C84" s="235" t="s">
        <v>385</v>
      </c>
      <c r="D84" s="261">
        <v>900</v>
      </c>
      <c r="E84" s="260">
        <v>1</v>
      </c>
      <c r="F84" s="283">
        <f t="shared" si="0"/>
        <v>900</v>
      </c>
      <c r="G84" s="106" t="s">
        <v>399</v>
      </c>
      <c r="H84" s="658"/>
      <c r="I84" s="676"/>
    </row>
    <row r="85" spans="2:9" ht="15.75" thickBot="1" x14ac:dyDescent="0.3">
      <c r="B85" s="673"/>
      <c r="C85" s="235" t="s">
        <v>385</v>
      </c>
      <c r="D85" s="261">
        <v>220</v>
      </c>
      <c r="E85" s="260">
        <v>10</v>
      </c>
      <c r="F85" s="283">
        <f t="shared" si="0"/>
        <v>2200</v>
      </c>
      <c r="G85" s="106" t="s">
        <v>400</v>
      </c>
      <c r="H85" s="658"/>
      <c r="I85" s="676"/>
    </row>
    <row r="86" spans="2:9" ht="15.75" thickBot="1" x14ac:dyDescent="0.3">
      <c r="B86" s="673"/>
      <c r="C86" s="235" t="s">
        <v>385</v>
      </c>
      <c r="D86" s="261">
        <v>40</v>
      </c>
      <c r="E86" s="260">
        <v>2</v>
      </c>
      <c r="F86" s="283">
        <f t="shared" si="0"/>
        <v>80</v>
      </c>
      <c r="G86" s="106" t="s">
        <v>401</v>
      </c>
      <c r="H86" s="658"/>
      <c r="I86" s="676"/>
    </row>
    <row r="87" spans="2:9" x14ac:dyDescent="0.25">
      <c r="B87" s="673"/>
      <c r="C87" s="235" t="s">
        <v>385</v>
      </c>
      <c r="D87" s="261">
        <v>40</v>
      </c>
      <c r="E87" s="260">
        <v>1</v>
      </c>
      <c r="F87" s="283">
        <f t="shared" si="0"/>
        <v>40</v>
      </c>
      <c r="G87" s="106" t="s">
        <v>402</v>
      </c>
      <c r="H87" s="679"/>
      <c r="I87" s="704"/>
    </row>
    <row r="88" spans="2:9" ht="15.75" hidden="1" thickBot="1" x14ac:dyDescent="0.3">
      <c r="B88" s="674"/>
      <c r="C88" s="250"/>
      <c r="D88" s="254"/>
      <c r="E88" s="251"/>
      <c r="F88" s="245"/>
      <c r="G88" s="246"/>
      <c r="H88" s="667"/>
      <c r="I88" s="677"/>
    </row>
    <row r="89" spans="2:9" ht="15" hidden="1" customHeight="1" x14ac:dyDescent="0.25">
      <c r="B89" s="695">
        <v>42109</v>
      </c>
      <c r="C89" s="255" t="s">
        <v>394</v>
      </c>
      <c r="D89" s="201">
        <f>F89/E89</f>
        <v>8434.1299999999992</v>
      </c>
      <c r="E89" s="201">
        <v>1</v>
      </c>
      <c r="F89" s="200">
        <v>8434.1299999999992</v>
      </c>
      <c r="G89" s="256" t="s">
        <v>403</v>
      </c>
      <c r="H89" s="671" t="s">
        <v>404</v>
      </c>
      <c r="I89" s="675">
        <v>90</v>
      </c>
    </row>
    <row r="90" spans="2:9" ht="17.25" customHeight="1" x14ac:dyDescent="0.25">
      <c r="B90" s="696"/>
      <c r="C90" s="257" t="s">
        <v>385</v>
      </c>
      <c r="D90" s="260">
        <f>F90/E90</f>
        <v>403.92</v>
      </c>
      <c r="E90" s="260">
        <v>2</v>
      </c>
      <c r="F90" s="283">
        <v>807.84</v>
      </c>
      <c r="G90" s="106" t="s">
        <v>405</v>
      </c>
      <c r="H90" s="658"/>
      <c r="I90" s="676"/>
    </row>
    <row r="91" spans="2:9" x14ac:dyDescent="0.25">
      <c r="B91" s="696"/>
      <c r="C91" s="257" t="s">
        <v>385</v>
      </c>
      <c r="D91" s="260">
        <f>F91/E91</f>
        <v>4.3075000000000001</v>
      </c>
      <c r="E91" s="260">
        <v>8</v>
      </c>
      <c r="F91" s="283">
        <v>34.46</v>
      </c>
      <c r="G91" s="106" t="s">
        <v>406</v>
      </c>
      <c r="H91" s="658"/>
      <c r="I91" s="676"/>
    </row>
    <row r="92" spans="2:9" x14ac:dyDescent="0.25">
      <c r="B92" s="696"/>
      <c r="C92" s="257" t="s">
        <v>385</v>
      </c>
      <c r="D92" s="260">
        <f>F92/E92</f>
        <v>9.9700000000000006</v>
      </c>
      <c r="E92" s="260">
        <v>2</v>
      </c>
      <c r="F92" s="283">
        <v>19.940000000000001</v>
      </c>
      <c r="G92" s="106" t="s">
        <v>407</v>
      </c>
      <c r="H92" s="658"/>
      <c r="I92" s="676"/>
    </row>
    <row r="93" spans="2:9" ht="15.75" thickBot="1" x14ac:dyDescent="0.3">
      <c r="B93" s="696"/>
      <c r="C93" s="257" t="s">
        <v>385</v>
      </c>
      <c r="D93" s="260">
        <f>F93/E93</f>
        <v>12.456250000000001</v>
      </c>
      <c r="E93" s="260">
        <v>8</v>
      </c>
      <c r="F93" s="283">
        <v>99.65</v>
      </c>
      <c r="G93" s="106" t="s">
        <v>408</v>
      </c>
      <c r="H93" s="658"/>
      <c r="I93" s="676"/>
    </row>
    <row r="94" spans="2:9" ht="15.75" hidden="1" thickBot="1" x14ac:dyDescent="0.3">
      <c r="B94" s="697"/>
      <c r="C94" s="258"/>
      <c r="D94" s="251"/>
      <c r="E94" s="251"/>
      <c r="F94" s="245"/>
      <c r="G94" s="246"/>
      <c r="H94" s="667"/>
      <c r="I94" s="677"/>
    </row>
    <row r="95" spans="2:9" ht="15" customHeight="1" thickBot="1" x14ac:dyDescent="0.3">
      <c r="B95" s="698">
        <v>42126</v>
      </c>
      <c r="C95" s="259" t="s">
        <v>388</v>
      </c>
      <c r="D95" s="201">
        <v>250</v>
      </c>
      <c r="E95" s="201">
        <v>1</v>
      </c>
      <c r="F95" s="341">
        <v>250</v>
      </c>
      <c r="G95" s="181" t="s">
        <v>409</v>
      </c>
      <c r="H95" s="701" t="s">
        <v>410</v>
      </c>
      <c r="I95" s="687">
        <v>90</v>
      </c>
    </row>
    <row r="96" spans="2:9" ht="15.75" thickBot="1" x14ac:dyDescent="0.3">
      <c r="B96" s="699"/>
      <c r="C96" s="259" t="s">
        <v>388</v>
      </c>
      <c r="D96" s="260">
        <v>700</v>
      </c>
      <c r="E96" s="260">
        <v>1</v>
      </c>
      <c r="F96" s="283">
        <f t="shared" ref="F96:F131" si="1">D96*E96</f>
        <v>700</v>
      </c>
      <c r="G96" s="106" t="s">
        <v>411</v>
      </c>
      <c r="H96" s="702"/>
      <c r="I96" s="688"/>
    </row>
    <row r="97" spans="2:9" ht="15.75" thickBot="1" x14ac:dyDescent="0.3">
      <c r="B97" s="699"/>
      <c r="C97" s="259" t="s">
        <v>388</v>
      </c>
      <c r="D97" s="260">
        <v>50</v>
      </c>
      <c r="E97" s="260">
        <v>1</v>
      </c>
      <c r="F97" s="283">
        <f t="shared" si="1"/>
        <v>50</v>
      </c>
      <c r="G97" s="106" t="s">
        <v>412</v>
      </c>
      <c r="H97" s="702"/>
      <c r="I97" s="688"/>
    </row>
    <row r="98" spans="2:9" ht="15.75" thickBot="1" x14ac:dyDescent="0.3">
      <c r="B98" s="699"/>
      <c r="C98" s="259" t="s">
        <v>388</v>
      </c>
      <c r="D98" s="260">
        <v>55</v>
      </c>
      <c r="E98" s="260">
        <v>1</v>
      </c>
      <c r="F98" s="283">
        <f t="shared" si="1"/>
        <v>55</v>
      </c>
      <c r="G98" s="106" t="s">
        <v>413</v>
      </c>
      <c r="H98" s="702"/>
      <c r="I98" s="688"/>
    </row>
    <row r="99" spans="2:9" ht="15.75" hidden="1" thickBot="1" x14ac:dyDescent="0.3">
      <c r="B99" s="700"/>
      <c r="C99" s="258"/>
      <c r="D99" s="192"/>
      <c r="E99" s="192"/>
      <c r="F99" s="262"/>
      <c r="G99" s="188"/>
      <c r="H99" s="703"/>
      <c r="I99" s="689"/>
    </row>
    <row r="100" spans="2:9" ht="15" customHeight="1" thickBot="1" x14ac:dyDescent="0.3">
      <c r="B100" s="684">
        <v>42128</v>
      </c>
      <c r="C100" s="235" t="s">
        <v>385</v>
      </c>
      <c r="D100" s="201">
        <v>45</v>
      </c>
      <c r="E100" s="201">
        <v>10</v>
      </c>
      <c r="F100" s="341">
        <f t="shared" si="1"/>
        <v>450</v>
      </c>
      <c r="G100" s="181" t="s">
        <v>414</v>
      </c>
      <c r="H100" s="701" t="s">
        <v>397</v>
      </c>
      <c r="I100" s="687">
        <v>90</v>
      </c>
    </row>
    <row r="101" spans="2:9" ht="15.75" thickBot="1" x14ac:dyDescent="0.3">
      <c r="B101" s="685"/>
      <c r="C101" s="235" t="s">
        <v>385</v>
      </c>
      <c r="D101" s="260">
        <v>180</v>
      </c>
      <c r="E101" s="260">
        <v>4</v>
      </c>
      <c r="F101" s="283">
        <f t="shared" si="1"/>
        <v>720</v>
      </c>
      <c r="G101" s="106" t="s">
        <v>415</v>
      </c>
      <c r="H101" s="702"/>
      <c r="I101" s="688"/>
    </row>
    <row r="102" spans="2:9" ht="15.75" thickBot="1" x14ac:dyDescent="0.3">
      <c r="B102" s="685"/>
      <c r="C102" s="235" t="s">
        <v>385</v>
      </c>
      <c r="D102" s="216">
        <v>200</v>
      </c>
      <c r="E102" s="216">
        <v>4</v>
      </c>
      <c r="F102" s="342">
        <f t="shared" si="1"/>
        <v>800</v>
      </c>
      <c r="G102" s="213" t="s">
        <v>416</v>
      </c>
      <c r="H102" s="702"/>
      <c r="I102" s="688"/>
    </row>
    <row r="103" spans="2:9" ht="15" customHeight="1" thickBot="1" x14ac:dyDescent="0.3">
      <c r="B103" s="685"/>
      <c r="C103" s="235" t="s">
        <v>385</v>
      </c>
      <c r="D103" s="260">
        <v>70</v>
      </c>
      <c r="E103" s="260">
        <v>2</v>
      </c>
      <c r="F103" s="283">
        <f t="shared" si="1"/>
        <v>140</v>
      </c>
      <c r="G103" s="106" t="s">
        <v>417</v>
      </c>
      <c r="H103" s="702"/>
      <c r="I103" s="688"/>
    </row>
    <row r="104" spans="2:9" ht="15.75" thickBot="1" x14ac:dyDescent="0.3">
      <c r="B104" s="685"/>
      <c r="C104" s="235" t="s">
        <v>385</v>
      </c>
      <c r="D104" s="260">
        <v>150</v>
      </c>
      <c r="E104" s="260">
        <v>1</v>
      </c>
      <c r="F104" s="283">
        <f t="shared" si="1"/>
        <v>150</v>
      </c>
      <c r="G104" s="106" t="s">
        <v>418</v>
      </c>
      <c r="H104" s="702"/>
      <c r="I104" s="688"/>
    </row>
    <row r="105" spans="2:9" ht="15.75" thickBot="1" x14ac:dyDescent="0.3">
      <c r="B105" s="685"/>
      <c r="C105" s="235" t="s">
        <v>385</v>
      </c>
      <c r="D105" s="260">
        <v>250</v>
      </c>
      <c r="E105" s="260">
        <v>1</v>
      </c>
      <c r="F105" s="283">
        <f t="shared" si="1"/>
        <v>250</v>
      </c>
      <c r="G105" s="106" t="s">
        <v>419</v>
      </c>
      <c r="H105" s="702"/>
      <c r="I105" s="688"/>
    </row>
    <row r="106" spans="2:9" ht="15.75" thickBot="1" x14ac:dyDescent="0.3">
      <c r="B106" s="685"/>
      <c r="C106" s="235" t="s">
        <v>385</v>
      </c>
      <c r="D106" s="260">
        <v>900</v>
      </c>
      <c r="E106" s="260">
        <v>1</v>
      </c>
      <c r="F106" s="283">
        <f t="shared" si="1"/>
        <v>900</v>
      </c>
      <c r="G106" s="106" t="s">
        <v>420</v>
      </c>
      <c r="H106" s="702"/>
      <c r="I106" s="688"/>
    </row>
    <row r="107" spans="2:9" ht="15.75" thickBot="1" x14ac:dyDescent="0.3">
      <c r="B107" s="685"/>
      <c r="C107" s="235" t="s">
        <v>385</v>
      </c>
      <c r="D107" s="260">
        <v>1700</v>
      </c>
      <c r="E107" s="260">
        <v>1</v>
      </c>
      <c r="F107" s="283">
        <f t="shared" si="1"/>
        <v>1700</v>
      </c>
      <c r="G107" s="106" t="s">
        <v>421</v>
      </c>
      <c r="H107" s="702"/>
      <c r="I107" s="688"/>
    </row>
    <row r="108" spans="2:9" ht="15.75" thickBot="1" x14ac:dyDescent="0.3">
      <c r="B108" s="685"/>
      <c r="C108" s="235" t="s">
        <v>385</v>
      </c>
      <c r="D108" s="260">
        <v>140</v>
      </c>
      <c r="E108" s="260">
        <v>1</v>
      </c>
      <c r="F108" s="283">
        <f t="shared" si="1"/>
        <v>140</v>
      </c>
      <c r="G108" s="106" t="s">
        <v>422</v>
      </c>
      <c r="H108" s="702"/>
      <c r="I108" s="688"/>
    </row>
    <row r="109" spans="2:9" ht="15.75" thickBot="1" x14ac:dyDescent="0.3">
      <c r="B109" s="685"/>
      <c r="C109" s="235" t="s">
        <v>385</v>
      </c>
      <c r="D109" s="260">
        <v>90</v>
      </c>
      <c r="E109" s="260">
        <v>2</v>
      </c>
      <c r="F109" s="283">
        <f t="shared" si="1"/>
        <v>180</v>
      </c>
      <c r="G109" s="106" t="s">
        <v>423</v>
      </c>
      <c r="H109" s="702"/>
      <c r="I109" s="688"/>
    </row>
    <row r="110" spans="2:9" ht="15.75" thickBot="1" x14ac:dyDescent="0.3">
      <c r="B110" s="685"/>
      <c r="C110" s="235" t="s">
        <v>385</v>
      </c>
      <c r="D110" s="260">
        <v>15</v>
      </c>
      <c r="E110" s="260">
        <v>1</v>
      </c>
      <c r="F110" s="283">
        <f t="shared" si="1"/>
        <v>15</v>
      </c>
      <c r="G110" s="106" t="s">
        <v>424</v>
      </c>
      <c r="H110" s="702"/>
      <c r="I110" s="688"/>
    </row>
    <row r="111" spans="2:9" ht="15.75" hidden="1" thickBot="1" x14ac:dyDescent="0.3">
      <c r="B111" s="686"/>
      <c r="C111" s="250"/>
      <c r="D111" s="192"/>
      <c r="E111" s="192"/>
      <c r="F111" s="262"/>
      <c r="G111" s="188"/>
      <c r="H111" s="703"/>
      <c r="I111" s="689"/>
    </row>
    <row r="112" spans="2:9" ht="15" customHeight="1" thickBot="1" x14ac:dyDescent="0.3">
      <c r="B112" s="693" t="s">
        <v>425</v>
      </c>
      <c r="C112" s="215" t="s">
        <v>385</v>
      </c>
      <c r="D112" s="201">
        <v>1500</v>
      </c>
      <c r="E112" s="201">
        <v>1</v>
      </c>
      <c r="F112" s="341">
        <f t="shared" si="1"/>
        <v>1500</v>
      </c>
      <c r="G112" s="181" t="s">
        <v>426</v>
      </c>
      <c r="H112" s="671" t="s">
        <v>427</v>
      </c>
      <c r="I112" s="687">
        <v>92</v>
      </c>
    </row>
    <row r="113" spans="2:9" ht="15.75" thickBot="1" x14ac:dyDescent="0.3">
      <c r="B113" s="694"/>
      <c r="C113" s="215" t="s">
        <v>385</v>
      </c>
      <c r="D113" s="260">
        <v>500</v>
      </c>
      <c r="E113" s="260">
        <v>1</v>
      </c>
      <c r="F113" s="283">
        <f t="shared" si="1"/>
        <v>500</v>
      </c>
      <c r="G113" s="106" t="s">
        <v>428</v>
      </c>
      <c r="H113" s="658"/>
      <c r="I113" s="688"/>
    </row>
    <row r="114" spans="2:9" ht="15.75" thickBot="1" x14ac:dyDescent="0.3">
      <c r="B114" s="694"/>
      <c r="C114" s="215" t="s">
        <v>385</v>
      </c>
      <c r="D114" s="260">
        <v>200</v>
      </c>
      <c r="E114" s="260">
        <v>1</v>
      </c>
      <c r="F114" s="283">
        <f t="shared" si="1"/>
        <v>200</v>
      </c>
      <c r="G114" s="106" t="s">
        <v>429</v>
      </c>
      <c r="H114" s="658"/>
      <c r="I114" s="688"/>
    </row>
    <row r="115" spans="2:9" ht="35.25" customHeight="1" thickBot="1" x14ac:dyDescent="0.3">
      <c r="B115" s="263">
        <v>42145</v>
      </c>
      <c r="C115" s="215" t="s">
        <v>385</v>
      </c>
      <c r="D115" s="260">
        <v>35</v>
      </c>
      <c r="E115" s="260">
        <v>10</v>
      </c>
      <c r="F115" s="283">
        <f t="shared" si="1"/>
        <v>350</v>
      </c>
      <c r="G115" s="106" t="s">
        <v>430</v>
      </c>
      <c r="H115" s="658"/>
      <c r="I115" s="264" t="s">
        <v>67</v>
      </c>
    </row>
    <row r="116" spans="2:9" ht="35.25" hidden="1" customHeight="1" thickBot="1" x14ac:dyDescent="0.3">
      <c r="B116" s="265"/>
      <c r="C116" s="188"/>
      <c r="D116" s="251"/>
      <c r="E116" s="251"/>
      <c r="F116" s="245"/>
      <c r="G116" s="246"/>
      <c r="H116" s="667"/>
      <c r="I116" s="266"/>
    </row>
    <row r="117" spans="2:9" ht="15" customHeight="1" thickBot="1" x14ac:dyDescent="0.3">
      <c r="B117" s="672">
        <v>42150</v>
      </c>
      <c r="C117" s="235" t="s">
        <v>388</v>
      </c>
      <c r="D117" s="201">
        <v>75</v>
      </c>
      <c r="E117" s="201">
        <v>1</v>
      </c>
      <c r="F117" s="341">
        <f t="shared" si="1"/>
        <v>75</v>
      </c>
      <c r="G117" s="181" t="s">
        <v>431</v>
      </c>
      <c r="H117" s="671" t="s">
        <v>432</v>
      </c>
      <c r="I117" s="675">
        <v>92</v>
      </c>
    </row>
    <row r="118" spans="2:9" ht="15.75" thickBot="1" x14ac:dyDescent="0.3">
      <c r="B118" s="673"/>
      <c r="C118" s="235" t="s">
        <v>388</v>
      </c>
      <c r="D118" s="260">
        <v>85</v>
      </c>
      <c r="E118" s="260">
        <v>1</v>
      </c>
      <c r="F118" s="283">
        <f t="shared" si="1"/>
        <v>85</v>
      </c>
      <c r="G118" s="106" t="s">
        <v>433</v>
      </c>
      <c r="H118" s="658"/>
      <c r="I118" s="676"/>
    </row>
    <row r="119" spans="2:9" ht="15.75" thickBot="1" x14ac:dyDescent="0.3">
      <c r="B119" s="673"/>
      <c r="C119" s="235" t="s">
        <v>388</v>
      </c>
      <c r="D119" s="260">
        <v>20</v>
      </c>
      <c r="E119" s="260">
        <v>1</v>
      </c>
      <c r="F119" s="283">
        <f t="shared" si="1"/>
        <v>20</v>
      </c>
      <c r="G119" s="106" t="s">
        <v>434</v>
      </c>
      <c r="H119" s="658"/>
      <c r="I119" s="676"/>
    </row>
    <row r="120" spans="2:9" ht="15.75" thickBot="1" x14ac:dyDescent="0.3">
      <c r="B120" s="673"/>
      <c r="C120" s="235" t="s">
        <v>388</v>
      </c>
      <c r="D120" s="260">
        <v>40</v>
      </c>
      <c r="E120" s="260">
        <v>1</v>
      </c>
      <c r="F120" s="283">
        <f t="shared" si="1"/>
        <v>40</v>
      </c>
      <c r="G120" s="106" t="s">
        <v>435</v>
      </c>
      <c r="H120" s="658"/>
      <c r="I120" s="676"/>
    </row>
    <row r="121" spans="2:9" ht="15.75" hidden="1" thickBot="1" x14ac:dyDescent="0.3">
      <c r="B121" s="674"/>
      <c r="C121" s="250"/>
      <c r="D121" s="251"/>
      <c r="E121" s="251"/>
      <c r="F121" s="245"/>
      <c r="G121" s="246"/>
      <c r="H121" s="667"/>
      <c r="I121" s="677"/>
    </row>
    <row r="122" spans="2:9" ht="15" customHeight="1" thickBot="1" x14ac:dyDescent="0.3">
      <c r="B122" s="684">
        <v>42151</v>
      </c>
      <c r="C122" s="235" t="s">
        <v>388</v>
      </c>
      <c r="D122" s="201">
        <v>20</v>
      </c>
      <c r="E122" s="201">
        <v>2</v>
      </c>
      <c r="F122" s="341">
        <f t="shared" si="1"/>
        <v>40</v>
      </c>
      <c r="G122" s="181" t="s">
        <v>436</v>
      </c>
      <c r="H122" s="223" t="s">
        <v>208</v>
      </c>
      <c r="I122" s="675">
        <v>92</v>
      </c>
    </row>
    <row r="123" spans="2:9" ht="15.75" thickBot="1" x14ac:dyDescent="0.3">
      <c r="B123" s="685"/>
      <c r="C123" s="235" t="s">
        <v>388</v>
      </c>
      <c r="D123" s="260">
        <v>200</v>
      </c>
      <c r="E123" s="260">
        <v>1</v>
      </c>
      <c r="F123" s="283">
        <f t="shared" si="1"/>
        <v>200</v>
      </c>
      <c r="G123" s="106" t="s">
        <v>429</v>
      </c>
      <c r="H123" s="116"/>
      <c r="I123" s="676"/>
    </row>
    <row r="124" spans="2:9" ht="15.75" thickBot="1" x14ac:dyDescent="0.3">
      <c r="B124" s="685"/>
      <c r="C124" s="235" t="s">
        <v>388</v>
      </c>
      <c r="D124" s="260">
        <v>500</v>
      </c>
      <c r="E124" s="260">
        <v>1</v>
      </c>
      <c r="F124" s="283">
        <f t="shared" si="1"/>
        <v>500</v>
      </c>
      <c r="G124" s="106" t="s">
        <v>428</v>
      </c>
      <c r="H124" s="116"/>
      <c r="I124" s="676"/>
    </row>
    <row r="125" spans="2:9" ht="15.75" thickBot="1" x14ac:dyDescent="0.3">
      <c r="B125" s="685"/>
      <c r="C125" s="235" t="s">
        <v>388</v>
      </c>
      <c r="D125" s="260">
        <v>500</v>
      </c>
      <c r="E125" s="260">
        <v>2</v>
      </c>
      <c r="F125" s="283">
        <f t="shared" si="1"/>
        <v>1000</v>
      </c>
      <c r="G125" s="106" t="s">
        <v>437</v>
      </c>
      <c r="H125" s="116"/>
      <c r="I125" s="676"/>
    </row>
    <row r="126" spans="2:9" ht="32.25" customHeight="1" thickBot="1" x14ac:dyDescent="0.3">
      <c r="B126" s="685"/>
      <c r="C126" s="235" t="s">
        <v>388</v>
      </c>
      <c r="D126" s="260">
        <v>60</v>
      </c>
      <c r="E126" s="260">
        <v>2</v>
      </c>
      <c r="F126" s="283">
        <f t="shared" si="1"/>
        <v>120</v>
      </c>
      <c r="G126" s="106" t="s">
        <v>438</v>
      </c>
      <c r="H126" s="116"/>
      <c r="I126" s="676"/>
    </row>
    <row r="127" spans="2:9" ht="32.25" hidden="1" customHeight="1" thickBot="1" x14ac:dyDescent="0.3">
      <c r="B127" s="686"/>
      <c r="C127" s="250"/>
      <c r="D127" s="251"/>
      <c r="E127" s="251"/>
      <c r="F127" s="245"/>
      <c r="G127" s="246"/>
      <c r="H127" s="189"/>
      <c r="I127" s="677"/>
    </row>
    <row r="128" spans="2:9" ht="32.25" customHeight="1" thickBot="1" x14ac:dyDescent="0.3">
      <c r="B128" s="253">
        <v>42153</v>
      </c>
      <c r="C128" s="248" t="s">
        <v>385</v>
      </c>
      <c r="D128" s="204">
        <v>50</v>
      </c>
      <c r="E128" s="204">
        <v>3</v>
      </c>
      <c r="F128" s="297">
        <f t="shared" si="1"/>
        <v>150</v>
      </c>
      <c r="G128" s="205" t="s">
        <v>439</v>
      </c>
      <c r="H128" s="206" t="s">
        <v>440</v>
      </c>
      <c r="I128" s="249" t="s">
        <v>67</v>
      </c>
    </row>
    <row r="129" spans="2:9" ht="30" customHeight="1" thickBot="1" x14ac:dyDescent="0.3">
      <c r="B129" s="672">
        <v>42154</v>
      </c>
      <c r="C129" s="235" t="s">
        <v>388</v>
      </c>
      <c r="D129" s="201">
        <v>40</v>
      </c>
      <c r="E129" s="201">
        <v>2</v>
      </c>
      <c r="F129" s="341">
        <f t="shared" si="1"/>
        <v>80</v>
      </c>
      <c r="G129" s="181" t="s">
        <v>441</v>
      </c>
      <c r="H129" s="671" t="s">
        <v>442</v>
      </c>
      <c r="I129" s="675" t="s">
        <v>443</v>
      </c>
    </row>
    <row r="130" spans="2:9" ht="30" customHeight="1" thickBot="1" x14ac:dyDescent="0.3">
      <c r="B130" s="673"/>
      <c r="C130" s="235" t="s">
        <v>388</v>
      </c>
      <c r="D130" s="260">
        <v>220</v>
      </c>
      <c r="E130" s="260">
        <v>2</v>
      </c>
      <c r="F130" s="283">
        <f t="shared" si="1"/>
        <v>440</v>
      </c>
      <c r="G130" s="106" t="s">
        <v>444</v>
      </c>
      <c r="H130" s="658"/>
      <c r="I130" s="676"/>
    </row>
    <row r="131" spans="2:9" ht="15.75" thickBot="1" x14ac:dyDescent="0.3">
      <c r="B131" s="673"/>
      <c r="C131" s="235" t="s">
        <v>388</v>
      </c>
      <c r="D131" s="260">
        <v>20</v>
      </c>
      <c r="E131" s="260">
        <v>3</v>
      </c>
      <c r="F131" s="283">
        <f t="shared" si="1"/>
        <v>60</v>
      </c>
      <c r="G131" s="106" t="s">
        <v>445</v>
      </c>
      <c r="H131" s="658"/>
      <c r="I131" s="676"/>
    </row>
    <row r="132" spans="2:9" ht="15.75" hidden="1" thickBot="1" x14ac:dyDescent="0.3">
      <c r="B132" s="674"/>
      <c r="C132" s="250"/>
      <c r="D132" s="251"/>
      <c r="E132" s="251"/>
      <c r="F132" s="245"/>
      <c r="G132" s="246"/>
      <c r="H132" s="667"/>
      <c r="I132" s="677"/>
    </row>
    <row r="133" spans="2:9" ht="30.75" hidden="1" thickBot="1" x14ac:dyDescent="0.3">
      <c r="B133" s="253">
        <v>42157</v>
      </c>
      <c r="C133" s="248" t="s">
        <v>394</v>
      </c>
      <c r="D133" s="204">
        <f>F133/E133</f>
        <v>243.16521739130437</v>
      </c>
      <c r="E133" s="204">
        <v>23</v>
      </c>
      <c r="F133" s="203">
        <v>5592.8</v>
      </c>
      <c r="G133" s="205" t="s">
        <v>446</v>
      </c>
      <c r="H133" s="206" t="s">
        <v>447</v>
      </c>
      <c r="I133" s="249" t="s">
        <v>448</v>
      </c>
    </row>
    <row r="134" spans="2:9" ht="45.75" thickBot="1" x14ac:dyDescent="0.3">
      <c r="B134" s="253">
        <v>42163</v>
      </c>
      <c r="C134" s="248" t="s">
        <v>385</v>
      </c>
      <c r="D134" s="203">
        <v>186</v>
      </c>
      <c r="E134" s="204">
        <v>2</v>
      </c>
      <c r="F134" s="297">
        <f t="shared" ref="F134:F197" si="2">D134*E134</f>
        <v>372</v>
      </c>
      <c r="G134" s="205" t="s">
        <v>449</v>
      </c>
      <c r="H134" s="206" t="s">
        <v>187</v>
      </c>
      <c r="I134" s="249" t="s">
        <v>448</v>
      </c>
    </row>
    <row r="135" spans="2:9" ht="15" hidden="1" customHeight="1" thickBot="1" x14ac:dyDescent="0.3">
      <c r="B135" s="672">
        <v>42163</v>
      </c>
      <c r="C135" s="267" t="s">
        <v>383</v>
      </c>
      <c r="D135" s="268">
        <v>46.5</v>
      </c>
      <c r="E135" s="201">
        <v>2</v>
      </c>
      <c r="F135" s="200">
        <f t="shared" si="2"/>
        <v>93</v>
      </c>
      <c r="G135" s="181" t="s">
        <v>450</v>
      </c>
      <c r="H135" s="671" t="s">
        <v>187</v>
      </c>
      <c r="I135" s="675" t="s">
        <v>448</v>
      </c>
    </row>
    <row r="136" spans="2:9" ht="15.75" hidden="1" thickBot="1" x14ac:dyDescent="0.3">
      <c r="B136" s="673"/>
      <c r="C136" s="267" t="s">
        <v>383</v>
      </c>
      <c r="D136" s="261">
        <v>55.8</v>
      </c>
      <c r="E136" s="260">
        <v>2</v>
      </c>
      <c r="F136" s="261">
        <f t="shared" si="2"/>
        <v>111.6</v>
      </c>
      <c r="G136" s="106" t="s">
        <v>451</v>
      </c>
      <c r="H136" s="658"/>
      <c r="I136" s="676"/>
    </row>
    <row r="137" spans="2:9" ht="15.75" hidden="1" thickBot="1" x14ac:dyDescent="0.3">
      <c r="B137" s="673"/>
      <c r="C137" s="267" t="s">
        <v>383</v>
      </c>
      <c r="D137" s="261">
        <v>186</v>
      </c>
      <c r="E137" s="260">
        <v>2</v>
      </c>
      <c r="F137" s="261">
        <f t="shared" si="2"/>
        <v>372</v>
      </c>
      <c r="G137" s="106" t="s">
        <v>452</v>
      </c>
      <c r="H137" s="658"/>
      <c r="I137" s="676"/>
    </row>
    <row r="138" spans="2:9" ht="15.75" hidden="1" thickBot="1" x14ac:dyDescent="0.3">
      <c r="B138" s="673"/>
      <c r="C138" s="267" t="s">
        <v>383</v>
      </c>
      <c r="D138" s="261">
        <v>27.9</v>
      </c>
      <c r="E138" s="260">
        <v>6</v>
      </c>
      <c r="F138" s="261">
        <f t="shared" si="2"/>
        <v>167.39999999999998</v>
      </c>
      <c r="G138" s="106" t="s">
        <v>453</v>
      </c>
      <c r="H138" s="658"/>
      <c r="I138" s="676"/>
    </row>
    <row r="139" spans="2:9" ht="15.75" hidden="1" thickBot="1" x14ac:dyDescent="0.3">
      <c r="B139" s="673"/>
      <c r="C139" s="267" t="s">
        <v>383</v>
      </c>
      <c r="D139" s="261">
        <v>651</v>
      </c>
      <c r="E139" s="260">
        <v>2</v>
      </c>
      <c r="F139" s="261">
        <f t="shared" si="2"/>
        <v>1302</v>
      </c>
      <c r="G139" s="106" t="s">
        <v>454</v>
      </c>
      <c r="H139" s="658"/>
      <c r="I139" s="676"/>
    </row>
    <row r="140" spans="2:9" ht="15.75" hidden="1" thickBot="1" x14ac:dyDescent="0.3">
      <c r="B140" s="673"/>
      <c r="C140" s="267" t="s">
        <v>383</v>
      </c>
      <c r="D140" s="261">
        <v>18.600000000000001</v>
      </c>
      <c r="E140" s="260">
        <v>2</v>
      </c>
      <c r="F140" s="261">
        <f t="shared" si="2"/>
        <v>37.200000000000003</v>
      </c>
      <c r="G140" s="106" t="s">
        <v>455</v>
      </c>
      <c r="H140" s="658"/>
      <c r="I140" s="676"/>
    </row>
    <row r="141" spans="2:9" ht="15.75" hidden="1" thickBot="1" x14ac:dyDescent="0.3">
      <c r="B141" s="673"/>
      <c r="C141" s="267" t="s">
        <v>383</v>
      </c>
      <c r="D141" s="260">
        <v>32.549999999999997</v>
      </c>
      <c r="E141" s="260">
        <v>10</v>
      </c>
      <c r="F141" s="261">
        <f t="shared" si="2"/>
        <v>325.5</v>
      </c>
      <c r="G141" s="106" t="s">
        <v>430</v>
      </c>
      <c r="H141" s="658"/>
      <c r="I141" s="676"/>
    </row>
    <row r="142" spans="2:9" ht="15.75" hidden="1" thickBot="1" x14ac:dyDescent="0.3">
      <c r="B142" s="673"/>
      <c r="C142" s="267" t="s">
        <v>383</v>
      </c>
      <c r="D142" s="260">
        <v>6.51</v>
      </c>
      <c r="E142" s="260">
        <v>10</v>
      </c>
      <c r="F142" s="261">
        <f t="shared" si="2"/>
        <v>65.099999999999994</v>
      </c>
      <c r="G142" s="106" t="s">
        <v>456</v>
      </c>
      <c r="H142" s="658"/>
      <c r="I142" s="676"/>
    </row>
    <row r="143" spans="2:9" ht="15.75" hidden="1" thickBot="1" x14ac:dyDescent="0.3">
      <c r="B143" s="673"/>
      <c r="C143" s="267" t="s">
        <v>383</v>
      </c>
      <c r="D143" s="261">
        <v>9.3000000000000007</v>
      </c>
      <c r="E143" s="260">
        <v>10</v>
      </c>
      <c r="F143" s="261">
        <f t="shared" si="2"/>
        <v>93</v>
      </c>
      <c r="G143" s="106" t="s">
        <v>457</v>
      </c>
      <c r="H143" s="658"/>
      <c r="I143" s="676"/>
    </row>
    <row r="144" spans="2:9" ht="15.75" hidden="1" thickBot="1" x14ac:dyDescent="0.3">
      <c r="B144" s="673"/>
      <c r="C144" s="267" t="s">
        <v>383</v>
      </c>
      <c r="D144" s="261">
        <v>37.200000000000003</v>
      </c>
      <c r="E144" s="260">
        <v>2</v>
      </c>
      <c r="F144" s="261">
        <f t="shared" si="2"/>
        <v>74.400000000000006</v>
      </c>
      <c r="G144" s="106" t="s">
        <v>458</v>
      </c>
      <c r="H144" s="658"/>
      <c r="I144" s="676"/>
    </row>
    <row r="145" spans="2:9" ht="15.75" hidden="1" thickBot="1" x14ac:dyDescent="0.3">
      <c r="B145" s="673"/>
      <c r="C145" s="267" t="s">
        <v>383</v>
      </c>
      <c r="D145" s="260">
        <v>13.95</v>
      </c>
      <c r="E145" s="260">
        <v>2</v>
      </c>
      <c r="F145" s="174">
        <f t="shared" si="2"/>
        <v>27.9</v>
      </c>
      <c r="G145" s="269" t="s">
        <v>459</v>
      </c>
      <c r="H145" s="658"/>
      <c r="I145" s="676"/>
    </row>
    <row r="146" spans="2:9" ht="15.75" hidden="1" thickBot="1" x14ac:dyDescent="0.3">
      <c r="B146" s="673"/>
      <c r="C146" s="267" t="s">
        <v>383</v>
      </c>
      <c r="D146" s="261">
        <v>37.200000000000003</v>
      </c>
      <c r="E146" s="260">
        <v>2</v>
      </c>
      <c r="F146" s="261">
        <f t="shared" si="2"/>
        <v>74.400000000000006</v>
      </c>
      <c r="G146" s="106" t="s">
        <v>460</v>
      </c>
      <c r="H146" s="658"/>
      <c r="I146" s="676"/>
    </row>
    <row r="147" spans="2:9" ht="15.75" hidden="1" thickBot="1" x14ac:dyDescent="0.3">
      <c r="B147" s="673"/>
      <c r="C147" s="267" t="s">
        <v>383</v>
      </c>
      <c r="D147" s="261">
        <v>139.5</v>
      </c>
      <c r="E147" s="260">
        <v>10</v>
      </c>
      <c r="F147" s="261">
        <f t="shared" si="2"/>
        <v>1395</v>
      </c>
      <c r="G147" s="106" t="s">
        <v>461</v>
      </c>
      <c r="H147" s="658"/>
      <c r="I147" s="676"/>
    </row>
    <row r="148" spans="2:9" ht="15.75" hidden="1" thickBot="1" x14ac:dyDescent="0.3">
      <c r="B148" s="673"/>
      <c r="C148" s="267" t="s">
        <v>383</v>
      </c>
      <c r="D148" s="261">
        <v>232.5</v>
      </c>
      <c r="E148" s="260">
        <v>10</v>
      </c>
      <c r="F148" s="261">
        <f t="shared" si="2"/>
        <v>2325</v>
      </c>
      <c r="G148" s="106" t="s">
        <v>462</v>
      </c>
      <c r="H148" s="658"/>
      <c r="I148" s="676"/>
    </row>
    <row r="149" spans="2:9" ht="15.75" hidden="1" thickBot="1" x14ac:dyDescent="0.3">
      <c r="B149" s="673"/>
      <c r="C149" s="267" t="s">
        <v>383</v>
      </c>
      <c r="D149" s="261">
        <v>28.4</v>
      </c>
      <c r="E149" s="260">
        <v>5</v>
      </c>
      <c r="F149" s="261">
        <f t="shared" si="2"/>
        <v>142</v>
      </c>
      <c r="G149" s="106" t="s">
        <v>463</v>
      </c>
      <c r="H149" s="658"/>
      <c r="I149" s="676"/>
    </row>
    <row r="150" spans="2:9" ht="15.75" hidden="1" thickBot="1" x14ac:dyDescent="0.3">
      <c r="B150" s="673"/>
      <c r="C150" s="267" t="s">
        <v>383</v>
      </c>
      <c r="D150" s="217">
        <v>139.5</v>
      </c>
      <c r="E150" s="216">
        <v>1</v>
      </c>
      <c r="F150" s="217">
        <f t="shared" si="2"/>
        <v>139.5</v>
      </c>
      <c r="G150" s="213" t="s">
        <v>464</v>
      </c>
      <c r="H150" s="658"/>
      <c r="I150" s="676"/>
    </row>
    <row r="151" spans="2:9" ht="15.75" hidden="1" thickBot="1" x14ac:dyDescent="0.3">
      <c r="B151" s="674"/>
      <c r="C151" s="270"/>
      <c r="D151" s="254"/>
      <c r="E151" s="251"/>
      <c r="F151" s="245"/>
      <c r="G151" s="246"/>
      <c r="H151" s="667"/>
      <c r="I151" s="677"/>
    </row>
    <row r="152" spans="2:9" ht="15.75" hidden="1" thickBot="1" x14ac:dyDescent="0.3">
      <c r="B152" s="247">
        <v>42173</v>
      </c>
      <c r="C152" s="248" t="s">
        <v>465</v>
      </c>
      <c r="D152" s="203">
        <v>15</v>
      </c>
      <c r="E152" s="204">
        <v>4</v>
      </c>
      <c r="F152" s="203">
        <f t="shared" si="2"/>
        <v>60</v>
      </c>
      <c r="G152" s="205" t="s">
        <v>466</v>
      </c>
      <c r="H152" s="206" t="s">
        <v>188</v>
      </c>
      <c r="I152" s="249" t="s">
        <v>448</v>
      </c>
    </row>
    <row r="153" spans="2:9" ht="15" hidden="1" customHeight="1" thickBot="1" x14ac:dyDescent="0.3">
      <c r="B153" s="672">
        <v>42173</v>
      </c>
      <c r="C153" s="235" t="s">
        <v>383</v>
      </c>
      <c r="D153" s="201">
        <v>13.95</v>
      </c>
      <c r="E153" s="201">
        <v>4</v>
      </c>
      <c r="F153" s="200">
        <f t="shared" si="2"/>
        <v>55.8</v>
      </c>
      <c r="G153" s="181" t="s">
        <v>467</v>
      </c>
      <c r="H153" s="671" t="s">
        <v>187</v>
      </c>
      <c r="I153" s="675" t="s">
        <v>468</v>
      </c>
    </row>
    <row r="154" spans="2:9" ht="15.75" hidden="1" thickBot="1" x14ac:dyDescent="0.3">
      <c r="B154" s="673"/>
      <c r="C154" s="235" t="s">
        <v>383</v>
      </c>
      <c r="D154" s="261">
        <v>325.5</v>
      </c>
      <c r="E154" s="260">
        <v>3</v>
      </c>
      <c r="F154" s="261">
        <f t="shared" si="2"/>
        <v>976.5</v>
      </c>
      <c r="G154" s="106" t="s">
        <v>469</v>
      </c>
      <c r="H154" s="658"/>
      <c r="I154" s="676"/>
    </row>
    <row r="155" spans="2:9" ht="15.75" hidden="1" thickBot="1" x14ac:dyDescent="0.3">
      <c r="B155" s="673"/>
      <c r="C155" s="235" t="s">
        <v>383</v>
      </c>
      <c r="D155" s="261">
        <v>372</v>
      </c>
      <c r="E155" s="260">
        <v>3</v>
      </c>
      <c r="F155" s="261">
        <f t="shared" si="2"/>
        <v>1116</v>
      </c>
      <c r="G155" s="106" t="s">
        <v>470</v>
      </c>
      <c r="H155" s="658"/>
      <c r="I155" s="676"/>
    </row>
    <row r="156" spans="2:9" ht="15.75" hidden="1" thickBot="1" x14ac:dyDescent="0.3">
      <c r="B156" s="673"/>
      <c r="C156" s="235" t="s">
        <v>383</v>
      </c>
      <c r="D156" s="260">
        <v>32.549999999999997</v>
      </c>
      <c r="E156" s="260">
        <v>2</v>
      </c>
      <c r="F156" s="261">
        <f t="shared" si="2"/>
        <v>65.099999999999994</v>
      </c>
      <c r="G156" s="106" t="s">
        <v>471</v>
      </c>
      <c r="H156" s="658"/>
      <c r="I156" s="676"/>
    </row>
    <row r="157" spans="2:9" ht="15.75" hidden="1" thickBot="1" x14ac:dyDescent="0.3">
      <c r="B157" s="673"/>
      <c r="C157" s="235" t="s">
        <v>383</v>
      </c>
      <c r="D157" s="261">
        <v>27.9</v>
      </c>
      <c r="E157" s="260">
        <v>1</v>
      </c>
      <c r="F157" s="261">
        <f t="shared" si="2"/>
        <v>27.9</v>
      </c>
      <c r="G157" s="106" t="s">
        <v>472</v>
      </c>
      <c r="H157" s="658"/>
      <c r="I157" s="676"/>
    </row>
    <row r="158" spans="2:9" ht="15.75" hidden="1" thickBot="1" x14ac:dyDescent="0.3">
      <c r="B158" s="673"/>
      <c r="C158" s="235" t="s">
        <v>383</v>
      </c>
      <c r="D158" s="261">
        <v>37.200000000000003</v>
      </c>
      <c r="E158" s="260">
        <v>2</v>
      </c>
      <c r="F158" s="261">
        <f t="shared" si="2"/>
        <v>74.400000000000006</v>
      </c>
      <c r="G158" s="106" t="s">
        <v>473</v>
      </c>
      <c r="H158" s="658"/>
      <c r="I158" s="676"/>
    </row>
    <row r="159" spans="2:9" ht="15.75" hidden="1" thickBot="1" x14ac:dyDescent="0.3">
      <c r="B159" s="673"/>
      <c r="C159" s="235" t="s">
        <v>383</v>
      </c>
      <c r="D159" s="261">
        <v>18.600000000000001</v>
      </c>
      <c r="E159" s="260">
        <v>6</v>
      </c>
      <c r="F159" s="261">
        <f t="shared" si="2"/>
        <v>111.60000000000001</v>
      </c>
      <c r="G159" s="106" t="s">
        <v>474</v>
      </c>
      <c r="H159" s="658"/>
      <c r="I159" s="676"/>
    </row>
    <row r="160" spans="2:9" ht="15.75" hidden="1" thickBot="1" x14ac:dyDescent="0.3">
      <c r="B160" s="673"/>
      <c r="C160" s="235" t="s">
        <v>383</v>
      </c>
      <c r="D160" s="261">
        <v>111.6</v>
      </c>
      <c r="E160" s="260">
        <v>2</v>
      </c>
      <c r="F160" s="261">
        <f t="shared" si="2"/>
        <v>223.2</v>
      </c>
      <c r="G160" s="106" t="s">
        <v>475</v>
      </c>
      <c r="H160" s="658"/>
      <c r="I160" s="676"/>
    </row>
    <row r="161" spans="2:9" ht="15.75" hidden="1" thickBot="1" x14ac:dyDescent="0.3">
      <c r="B161" s="673"/>
      <c r="C161" s="235" t="s">
        <v>383</v>
      </c>
      <c r="D161" s="261">
        <v>23.5</v>
      </c>
      <c r="E161" s="260">
        <v>1</v>
      </c>
      <c r="F161" s="261">
        <f t="shared" si="2"/>
        <v>23.5</v>
      </c>
      <c r="G161" s="106" t="s">
        <v>476</v>
      </c>
      <c r="H161" s="658"/>
      <c r="I161" s="676"/>
    </row>
    <row r="162" spans="2:9" ht="15.75" hidden="1" thickBot="1" x14ac:dyDescent="0.3">
      <c r="B162" s="674"/>
      <c r="C162" s="250"/>
      <c r="D162" s="254"/>
      <c r="E162" s="251"/>
      <c r="F162" s="245"/>
      <c r="G162" s="246"/>
      <c r="H162" s="667"/>
      <c r="I162" s="677"/>
    </row>
    <row r="163" spans="2:9" ht="15" hidden="1" customHeight="1" thickBot="1" x14ac:dyDescent="0.3">
      <c r="B163" s="672">
        <v>42173</v>
      </c>
      <c r="C163" s="235" t="s">
        <v>180</v>
      </c>
      <c r="D163" s="200">
        <v>279</v>
      </c>
      <c r="E163" s="201">
        <v>2</v>
      </c>
      <c r="F163" s="200">
        <f t="shared" si="2"/>
        <v>558</v>
      </c>
      <c r="G163" s="181" t="s">
        <v>477</v>
      </c>
      <c r="H163" s="671" t="s">
        <v>478</v>
      </c>
      <c r="I163" s="675" t="s">
        <v>245</v>
      </c>
    </row>
    <row r="164" spans="2:9" ht="15.75" hidden="1" thickBot="1" x14ac:dyDescent="0.3">
      <c r="B164" s="673"/>
      <c r="C164" s="235" t="s">
        <v>180</v>
      </c>
      <c r="D164" s="261">
        <v>372</v>
      </c>
      <c r="E164" s="260">
        <v>2</v>
      </c>
      <c r="F164" s="261">
        <f t="shared" si="2"/>
        <v>744</v>
      </c>
      <c r="G164" s="106" t="s">
        <v>479</v>
      </c>
      <c r="H164" s="658"/>
      <c r="I164" s="676"/>
    </row>
    <row r="165" spans="2:9" ht="15.75" hidden="1" thickBot="1" x14ac:dyDescent="0.3">
      <c r="B165" s="673"/>
      <c r="C165" s="235" t="s">
        <v>180</v>
      </c>
      <c r="D165" s="261">
        <v>511.5</v>
      </c>
      <c r="E165" s="260">
        <v>1</v>
      </c>
      <c r="F165" s="261">
        <f t="shared" si="2"/>
        <v>511.5</v>
      </c>
      <c r="G165" s="106" t="s">
        <v>480</v>
      </c>
      <c r="H165" s="658"/>
      <c r="I165" s="676"/>
    </row>
    <row r="166" spans="2:9" ht="15.75" hidden="1" thickBot="1" x14ac:dyDescent="0.3">
      <c r="B166" s="673"/>
      <c r="C166" s="235" t="s">
        <v>180</v>
      </c>
      <c r="D166" s="261">
        <v>139.5</v>
      </c>
      <c r="E166" s="260">
        <v>1</v>
      </c>
      <c r="F166" s="261">
        <f t="shared" si="2"/>
        <v>139.5</v>
      </c>
      <c r="G166" s="106" t="s">
        <v>481</v>
      </c>
      <c r="H166" s="658"/>
      <c r="I166" s="676"/>
    </row>
    <row r="167" spans="2:9" ht="15.75" hidden="1" thickBot="1" x14ac:dyDescent="0.3">
      <c r="B167" s="673"/>
      <c r="C167" s="235" t="s">
        <v>180</v>
      </c>
      <c r="D167" s="261">
        <v>465</v>
      </c>
      <c r="E167" s="260">
        <v>1</v>
      </c>
      <c r="F167" s="261">
        <f t="shared" si="2"/>
        <v>465</v>
      </c>
      <c r="G167" s="106" t="s">
        <v>482</v>
      </c>
      <c r="H167" s="658"/>
      <c r="I167" s="676"/>
    </row>
    <row r="168" spans="2:9" ht="15.75" hidden="1" thickBot="1" x14ac:dyDescent="0.3">
      <c r="B168" s="673"/>
      <c r="C168" s="235" t="s">
        <v>180</v>
      </c>
      <c r="D168" s="261">
        <v>372</v>
      </c>
      <c r="E168" s="260">
        <v>1</v>
      </c>
      <c r="F168" s="261">
        <f t="shared" si="2"/>
        <v>372</v>
      </c>
      <c r="G168" s="106" t="s">
        <v>483</v>
      </c>
      <c r="H168" s="658"/>
      <c r="I168" s="676"/>
    </row>
    <row r="169" spans="2:9" ht="15.75" hidden="1" thickBot="1" x14ac:dyDescent="0.3">
      <c r="B169" s="673"/>
      <c r="C169" s="235" t="s">
        <v>180</v>
      </c>
      <c r="D169" s="261">
        <v>186</v>
      </c>
      <c r="E169" s="260">
        <v>1</v>
      </c>
      <c r="F169" s="261">
        <f t="shared" si="2"/>
        <v>186</v>
      </c>
      <c r="G169" s="106" t="s">
        <v>484</v>
      </c>
      <c r="H169" s="658"/>
      <c r="I169" s="676"/>
    </row>
    <row r="170" spans="2:9" ht="15.75" hidden="1" thickBot="1" x14ac:dyDescent="0.3">
      <c r="B170" s="673"/>
      <c r="C170" s="235" t="s">
        <v>180</v>
      </c>
      <c r="D170" s="261">
        <v>69.900000000000006</v>
      </c>
      <c r="E170" s="260">
        <v>1</v>
      </c>
      <c r="F170" s="261">
        <f t="shared" si="2"/>
        <v>69.900000000000006</v>
      </c>
      <c r="G170" s="106" t="s">
        <v>485</v>
      </c>
      <c r="H170" s="658"/>
      <c r="I170" s="676"/>
    </row>
    <row r="171" spans="2:9" ht="30.75" hidden="1" thickBot="1" x14ac:dyDescent="0.3">
      <c r="B171" s="673"/>
      <c r="C171" s="235" t="s">
        <v>180</v>
      </c>
      <c r="D171" s="261">
        <v>3673.5</v>
      </c>
      <c r="E171" s="260">
        <v>1</v>
      </c>
      <c r="F171" s="261">
        <f t="shared" si="2"/>
        <v>3673.5</v>
      </c>
      <c r="G171" s="106" t="s">
        <v>486</v>
      </c>
      <c r="H171" s="658"/>
      <c r="I171" s="676"/>
    </row>
    <row r="172" spans="2:9" ht="15.75" hidden="1" thickBot="1" x14ac:dyDescent="0.3">
      <c r="B172" s="673"/>
      <c r="C172" s="235" t="s">
        <v>180</v>
      </c>
      <c r="D172" s="261">
        <v>18.600000000000001</v>
      </c>
      <c r="E172" s="260">
        <v>1</v>
      </c>
      <c r="F172" s="261">
        <f t="shared" si="2"/>
        <v>18.600000000000001</v>
      </c>
      <c r="G172" s="106" t="s">
        <v>487</v>
      </c>
      <c r="H172" s="658"/>
      <c r="I172" s="676"/>
    </row>
    <row r="173" spans="2:9" ht="15.75" hidden="1" thickBot="1" x14ac:dyDescent="0.3">
      <c r="B173" s="674"/>
      <c r="C173" s="250"/>
      <c r="D173" s="254"/>
      <c r="E173" s="251"/>
      <c r="F173" s="245"/>
      <c r="G173" s="246"/>
      <c r="H173" s="667"/>
      <c r="I173" s="677"/>
    </row>
    <row r="174" spans="2:9" ht="15" hidden="1" customHeight="1" thickBot="1" x14ac:dyDescent="0.3">
      <c r="B174" s="672">
        <v>42181</v>
      </c>
      <c r="C174" s="235" t="s">
        <v>367</v>
      </c>
      <c r="D174" s="200">
        <v>27.9</v>
      </c>
      <c r="E174" s="201">
        <v>10</v>
      </c>
      <c r="F174" s="200">
        <f t="shared" si="2"/>
        <v>279</v>
      </c>
      <c r="G174" s="181" t="s">
        <v>488</v>
      </c>
      <c r="H174" s="671" t="s">
        <v>189</v>
      </c>
      <c r="I174" s="675">
        <v>90</v>
      </c>
    </row>
    <row r="175" spans="2:9" ht="15.75" hidden="1" thickBot="1" x14ac:dyDescent="0.3">
      <c r="B175" s="673"/>
      <c r="C175" s="235" t="s">
        <v>367</v>
      </c>
      <c r="D175" s="261">
        <v>6.51</v>
      </c>
      <c r="E175" s="260">
        <v>10</v>
      </c>
      <c r="F175" s="261">
        <f t="shared" si="2"/>
        <v>65.099999999999994</v>
      </c>
      <c r="G175" s="106" t="s">
        <v>489</v>
      </c>
      <c r="H175" s="658"/>
      <c r="I175" s="676"/>
    </row>
    <row r="176" spans="2:9" ht="15.75" hidden="1" thickBot="1" x14ac:dyDescent="0.3">
      <c r="B176" s="673"/>
      <c r="C176" s="235" t="s">
        <v>367</v>
      </c>
      <c r="D176" s="261">
        <v>139.5</v>
      </c>
      <c r="E176" s="260">
        <v>10</v>
      </c>
      <c r="F176" s="261">
        <f t="shared" si="2"/>
        <v>1395</v>
      </c>
      <c r="G176" s="106" t="s">
        <v>490</v>
      </c>
      <c r="H176" s="658"/>
      <c r="I176" s="676"/>
    </row>
    <row r="177" spans="2:9" ht="15.75" hidden="1" thickBot="1" x14ac:dyDescent="0.3">
      <c r="B177" s="673"/>
      <c r="C177" s="235" t="s">
        <v>367</v>
      </c>
      <c r="D177" s="261">
        <v>837</v>
      </c>
      <c r="E177" s="260">
        <v>1</v>
      </c>
      <c r="F177" s="261">
        <f t="shared" si="2"/>
        <v>837</v>
      </c>
      <c r="G177" s="106" t="s">
        <v>491</v>
      </c>
      <c r="H177" s="658"/>
      <c r="I177" s="676"/>
    </row>
    <row r="178" spans="2:9" ht="32.25" hidden="1" customHeight="1" x14ac:dyDescent="0.25">
      <c r="B178" s="673"/>
      <c r="C178" s="235" t="s">
        <v>367</v>
      </c>
      <c r="D178" s="261">
        <v>74.900000000000006</v>
      </c>
      <c r="E178" s="260">
        <v>1</v>
      </c>
      <c r="F178" s="261">
        <f t="shared" si="2"/>
        <v>74.900000000000006</v>
      </c>
      <c r="G178" s="106" t="s">
        <v>492</v>
      </c>
      <c r="H178" s="658"/>
      <c r="I178" s="676"/>
    </row>
    <row r="179" spans="2:9" ht="32.25" hidden="1" customHeight="1" thickBot="1" x14ac:dyDescent="0.3">
      <c r="B179" s="674"/>
      <c r="C179" s="250"/>
      <c r="D179" s="254"/>
      <c r="E179" s="251"/>
      <c r="F179" s="245"/>
      <c r="G179" s="246"/>
      <c r="H179" s="667"/>
      <c r="I179" s="677"/>
    </row>
    <row r="180" spans="2:9" ht="30" hidden="1" customHeight="1" thickBot="1" x14ac:dyDescent="0.3">
      <c r="B180" s="672">
        <v>42181</v>
      </c>
      <c r="C180" s="235" t="s">
        <v>180</v>
      </c>
      <c r="D180" s="200">
        <v>3790</v>
      </c>
      <c r="E180" s="201">
        <v>1</v>
      </c>
      <c r="F180" s="200">
        <f t="shared" si="2"/>
        <v>3790</v>
      </c>
      <c r="G180" s="181" t="s">
        <v>493</v>
      </c>
      <c r="H180" s="671" t="s">
        <v>494</v>
      </c>
      <c r="I180" s="675" t="s">
        <v>245</v>
      </c>
    </row>
    <row r="181" spans="2:9" ht="15.75" hidden="1" thickBot="1" x14ac:dyDescent="0.3">
      <c r="B181" s="673"/>
      <c r="C181" s="235" t="s">
        <v>180</v>
      </c>
      <c r="D181" s="261">
        <v>412</v>
      </c>
      <c r="E181" s="260">
        <v>1</v>
      </c>
      <c r="F181" s="261">
        <f t="shared" si="2"/>
        <v>412</v>
      </c>
      <c r="G181" s="106" t="s">
        <v>495</v>
      </c>
      <c r="H181" s="658"/>
      <c r="I181" s="676"/>
    </row>
    <row r="182" spans="2:9" ht="15.75" hidden="1" thickBot="1" x14ac:dyDescent="0.3">
      <c r="B182" s="674"/>
      <c r="C182" s="250"/>
      <c r="D182" s="254"/>
      <c r="E182" s="251"/>
      <c r="F182" s="245"/>
      <c r="G182" s="246"/>
      <c r="H182" s="667"/>
      <c r="I182" s="677"/>
    </row>
    <row r="183" spans="2:9" ht="30.75" thickBot="1" x14ac:dyDescent="0.3">
      <c r="B183" s="271">
        <v>42182</v>
      </c>
      <c r="C183" s="272" t="s">
        <v>385</v>
      </c>
      <c r="D183" s="273">
        <v>837</v>
      </c>
      <c r="E183" s="274">
        <v>1</v>
      </c>
      <c r="F183" s="297">
        <f t="shared" si="2"/>
        <v>837</v>
      </c>
      <c r="G183" s="275" t="s">
        <v>399</v>
      </c>
      <c r="H183" s="276"/>
      <c r="I183" s="277" t="s">
        <v>245</v>
      </c>
    </row>
    <row r="184" spans="2:9" ht="30" hidden="1" customHeight="1" thickBot="1" x14ac:dyDescent="0.3">
      <c r="B184" s="278">
        <v>42182</v>
      </c>
      <c r="C184" s="235" t="s">
        <v>367</v>
      </c>
      <c r="D184" s="200">
        <v>37.1</v>
      </c>
      <c r="E184" s="201">
        <v>1</v>
      </c>
      <c r="F184" s="200">
        <f t="shared" si="2"/>
        <v>37.1</v>
      </c>
      <c r="G184" s="181" t="s">
        <v>496</v>
      </c>
      <c r="H184" s="701" t="s">
        <v>190</v>
      </c>
      <c r="I184" s="279">
        <v>90</v>
      </c>
    </row>
    <row r="185" spans="2:9" ht="30" hidden="1" customHeight="1" thickBot="1" x14ac:dyDescent="0.3">
      <c r="B185" s="263">
        <v>42184</v>
      </c>
      <c r="C185" s="235" t="s">
        <v>367</v>
      </c>
      <c r="D185" s="261">
        <v>37.1</v>
      </c>
      <c r="E185" s="260">
        <v>1</v>
      </c>
      <c r="F185" s="261">
        <f t="shared" si="2"/>
        <v>37.1</v>
      </c>
      <c r="G185" s="106" t="s">
        <v>496</v>
      </c>
      <c r="H185" s="702"/>
      <c r="I185" s="264">
        <v>90</v>
      </c>
    </row>
    <row r="186" spans="2:9" ht="30" hidden="1" customHeight="1" thickBot="1" x14ac:dyDescent="0.3">
      <c r="B186" s="263">
        <v>42185</v>
      </c>
      <c r="C186" s="235" t="s">
        <v>367</v>
      </c>
      <c r="D186" s="261">
        <v>145.5</v>
      </c>
      <c r="E186" s="260">
        <v>2</v>
      </c>
      <c r="F186" s="261">
        <f t="shared" si="2"/>
        <v>291</v>
      </c>
      <c r="G186" s="106" t="s">
        <v>497</v>
      </c>
      <c r="H186" s="702"/>
      <c r="I186" s="264">
        <v>90</v>
      </c>
    </row>
    <row r="187" spans="2:9" ht="30" hidden="1" customHeight="1" thickBot="1" x14ac:dyDescent="0.3">
      <c r="B187" s="263">
        <v>42185</v>
      </c>
      <c r="C187" s="235" t="s">
        <v>367</v>
      </c>
      <c r="D187" s="261">
        <v>11.5</v>
      </c>
      <c r="E187" s="260">
        <v>10</v>
      </c>
      <c r="F187" s="261">
        <f t="shared" si="2"/>
        <v>115</v>
      </c>
      <c r="G187" s="106" t="s">
        <v>498</v>
      </c>
      <c r="H187" s="702"/>
      <c r="I187" s="264">
        <v>90</v>
      </c>
    </row>
    <row r="188" spans="2:9" ht="30" hidden="1" customHeight="1" x14ac:dyDescent="0.25">
      <c r="B188" s="263">
        <v>42190</v>
      </c>
      <c r="C188" s="235" t="s">
        <v>367</v>
      </c>
      <c r="D188" s="261">
        <v>78</v>
      </c>
      <c r="E188" s="260">
        <v>1</v>
      </c>
      <c r="F188" s="261">
        <f t="shared" si="2"/>
        <v>78</v>
      </c>
      <c r="G188" s="106" t="s">
        <v>499</v>
      </c>
      <c r="H188" s="702"/>
      <c r="I188" s="264" t="s">
        <v>67</v>
      </c>
    </row>
    <row r="189" spans="2:9" ht="15.75" hidden="1" thickBot="1" x14ac:dyDescent="0.3">
      <c r="B189" s="265"/>
      <c r="C189" s="250"/>
      <c r="D189" s="209"/>
      <c r="E189" s="192"/>
      <c r="F189" s="262"/>
      <c r="G189" s="188"/>
      <c r="H189" s="703"/>
      <c r="I189" s="266"/>
    </row>
    <row r="190" spans="2:9" ht="15" hidden="1" customHeight="1" thickBot="1" x14ac:dyDescent="0.3">
      <c r="B190" s="672">
        <v>42193</v>
      </c>
      <c r="C190" s="235" t="s">
        <v>180</v>
      </c>
      <c r="D190" s="200">
        <v>1495</v>
      </c>
      <c r="E190" s="201">
        <v>1</v>
      </c>
      <c r="F190" s="200">
        <f t="shared" si="2"/>
        <v>1495</v>
      </c>
      <c r="G190" s="181" t="s">
        <v>500</v>
      </c>
      <c r="H190" s="671" t="s">
        <v>189</v>
      </c>
      <c r="I190" s="675" t="s">
        <v>245</v>
      </c>
    </row>
    <row r="191" spans="2:9" ht="15.75" hidden="1" thickBot="1" x14ac:dyDescent="0.3">
      <c r="B191" s="673"/>
      <c r="C191" s="235" t="s">
        <v>180</v>
      </c>
      <c r="D191" s="261">
        <v>2640</v>
      </c>
      <c r="E191" s="260">
        <v>1</v>
      </c>
      <c r="F191" s="261">
        <f t="shared" si="2"/>
        <v>2640</v>
      </c>
      <c r="G191" s="106" t="s">
        <v>501</v>
      </c>
      <c r="H191" s="658"/>
      <c r="I191" s="676"/>
    </row>
    <row r="192" spans="2:9" ht="15.75" hidden="1" thickBot="1" x14ac:dyDescent="0.3">
      <c r="B192" s="673"/>
      <c r="C192" s="235" t="s">
        <v>180</v>
      </c>
      <c r="D192" s="261">
        <v>115</v>
      </c>
      <c r="E192" s="260">
        <v>1</v>
      </c>
      <c r="F192" s="261">
        <f t="shared" si="2"/>
        <v>115</v>
      </c>
      <c r="G192" s="106" t="s">
        <v>502</v>
      </c>
      <c r="H192" s="658"/>
      <c r="I192" s="676"/>
    </row>
    <row r="193" spans="2:9" ht="15.75" hidden="1" thickBot="1" x14ac:dyDescent="0.3">
      <c r="B193" s="673"/>
      <c r="C193" s="235" t="s">
        <v>180</v>
      </c>
      <c r="D193" s="261">
        <v>215</v>
      </c>
      <c r="E193" s="260">
        <v>1</v>
      </c>
      <c r="F193" s="261">
        <f t="shared" si="2"/>
        <v>215</v>
      </c>
      <c r="G193" s="106" t="s">
        <v>503</v>
      </c>
      <c r="H193" s="658"/>
      <c r="I193" s="676"/>
    </row>
    <row r="194" spans="2:9" ht="15.75" hidden="1" thickBot="1" x14ac:dyDescent="0.3">
      <c r="B194" s="673"/>
      <c r="C194" s="235" t="s">
        <v>180</v>
      </c>
      <c r="D194" s="261">
        <v>415</v>
      </c>
      <c r="E194" s="260">
        <v>1</v>
      </c>
      <c r="F194" s="261">
        <f t="shared" si="2"/>
        <v>415</v>
      </c>
      <c r="G194" s="106" t="s">
        <v>504</v>
      </c>
      <c r="H194" s="658"/>
      <c r="I194" s="676"/>
    </row>
    <row r="195" spans="2:9" ht="15.75" hidden="1" thickBot="1" x14ac:dyDescent="0.3">
      <c r="B195" s="673"/>
      <c r="C195" s="235" t="s">
        <v>180</v>
      </c>
      <c r="D195" s="261">
        <v>68</v>
      </c>
      <c r="E195" s="260">
        <v>1</v>
      </c>
      <c r="F195" s="261">
        <f t="shared" si="2"/>
        <v>68</v>
      </c>
      <c r="G195" s="106" t="s">
        <v>505</v>
      </c>
      <c r="H195" s="658"/>
      <c r="I195" s="676"/>
    </row>
    <row r="196" spans="2:9" ht="15.75" hidden="1" thickBot="1" x14ac:dyDescent="0.3">
      <c r="B196" s="673"/>
      <c r="C196" s="235" t="s">
        <v>180</v>
      </c>
      <c r="D196" s="261">
        <v>80</v>
      </c>
      <c r="E196" s="260">
        <v>1</v>
      </c>
      <c r="F196" s="261">
        <f t="shared" si="2"/>
        <v>80</v>
      </c>
      <c r="G196" s="106" t="s">
        <v>506</v>
      </c>
      <c r="H196" s="658"/>
      <c r="I196" s="676"/>
    </row>
    <row r="197" spans="2:9" ht="15.75" hidden="1" thickBot="1" x14ac:dyDescent="0.3">
      <c r="B197" s="673"/>
      <c r="C197" s="235" t="s">
        <v>180</v>
      </c>
      <c r="D197" s="261">
        <v>93</v>
      </c>
      <c r="E197" s="260">
        <v>1</v>
      </c>
      <c r="F197" s="261">
        <f t="shared" si="2"/>
        <v>93</v>
      </c>
      <c r="G197" s="106" t="s">
        <v>507</v>
      </c>
      <c r="H197" s="658"/>
      <c r="I197" s="676"/>
    </row>
    <row r="198" spans="2:9" ht="15.75" hidden="1" thickBot="1" x14ac:dyDescent="0.3">
      <c r="B198" s="673"/>
      <c r="C198" s="235" t="s">
        <v>180</v>
      </c>
      <c r="D198" s="261">
        <v>150</v>
      </c>
      <c r="E198" s="260">
        <v>1</v>
      </c>
      <c r="F198" s="261">
        <f t="shared" ref="F198:F216" si="3">D198*E198</f>
        <v>150</v>
      </c>
      <c r="G198" s="106" t="s">
        <v>508</v>
      </c>
      <c r="H198" s="658"/>
      <c r="I198" s="676"/>
    </row>
    <row r="199" spans="2:9" ht="15.75" hidden="1" thickBot="1" x14ac:dyDescent="0.3">
      <c r="B199" s="673"/>
      <c r="C199" s="235" t="s">
        <v>180</v>
      </c>
      <c r="D199" s="261">
        <v>235</v>
      </c>
      <c r="E199" s="260">
        <v>1</v>
      </c>
      <c r="F199" s="261">
        <f t="shared" si="3"/>
        <v>235</v>
      </c>
      <c r="G199" s="106" t="s">
        <v>509</v>
      </c>
      <c r="H199" s="658"/>
      <c r="I199" s="676"/>
    </row>
    <row r="200" spans="2:9" ht="15.75" hidden="1" thickBot="1" x14ac:dyDescent="0.3">
      <c r="B200" s="673"/>
      <c r="C200" s="235" t="s">
        <v>180</v>
      </c>
      <c r="D200" s="261">
        <v>375</v>
      </c>
      <c r="E200" s="260">
        <v>1</v>
      </c>
      <c r="F200" s="261">
        <f t="shared" si="3"/>
        <v>375</v>
      </c>
      <c r="G200" s="106" t="s">
        <v>510</v>
      </c>
      <c r="H200" s="658"/>
      <c r="I200" s="676"/>
    </row>
    <row r="201" spans="2:9" ht="15.75" hidden="1" thickBot="1" x14ac:dyDescent="0.3">
      <c r="B201" s="673"/>
      <c r="C201" s="235" t="s">
        <v>180</v>
      </c>
      <c r="D201" s="217">
        <v>375</v>
      </c>
      <c r="E201" s="216">
        <v>1</v>
      </c>
      <c r="F201" s="217">
        <f t="shared" si="3"/>
        <v>375</v>
      </c>
      <c r="G201" s="280" t="s">
        <v>511</v>
      </c>
      <c r="H201" s="658"/>
      <c r="I201" s="676"/>
    </row>
    <row r="202" spans="2:9" ht="15.75" hidden="1" thickBot="1" x14ac:dyDescent="0.3">
      <c r="B202" s="674"/>
      <c r="C202" s="250"/>
      <c r="D202" s="254"/>
      <c r="E202" s="251"/>
      <c r="F202" s="245"/>
      <c r="G202" s="281"/>
      <c r="H202" s="667"/>
      <c r="I202" s="677"/>
    </row>
    <row r="203" spans="2:9" ht="30" customHeight="1" thickBot="1" x14ac:dyDescent="0.3">
      <c r="B203" s="684">
        <v>42193</v>
      </c>
      <c r="C203" s="235" t="s">
        <v>388</v>
      </c>
      <c r="D203" s="200">
        <v>830</v>
      </c>
      <c r="E203" s="201">
        <v>1</v>
      </c>
      <c r="F203" s="341">
        <f t="shared" si="3"/>
        <v>830</v>
      </c>
      <c r="G203" s="181" t="s">
        <v>512</v>
      </c>
      <c r="H203" s="671" t="s">
        <v>513</v>
      </c>
      <c r="I203" s="675">
        <v>90</v>
      </c>
    </row>
    <row r="204" spans="2:9" ht="15.75" thickBot="1" x14ac:dyDescent="0.3">
      <c r="B204" s="685"/>
      <c r="C204" s="235" t="s">
        <v>388</v>
      </c>
      <c r="D204" s="261">
        <v>1536</v>
      </c>
      <c r="E204" s="260">
        <v>1</v>
      </c>
      <c r="F204" s="283">
        <f t="shared" si="3"/>
        <v>1536</v>
      </c>
      <c r="G204" s="106" t="s">
        <v>514</v>
      </c>
      <c r="H204" s="658"/>
      <c r="I204" s="676"/>
    </row>
    <row r="205" spans="2:9" ht="30" customHeight="1" thickBot="1" x14ac:dyDescent="0.3">
      <c r="B205" s="263">
        <v>42193</v>
      </c>
      <c r="C205" s="235" t="s">
        <v>388</v>
      </c>
      <c r="D205" s="261">
        <v>730</v>
      </c>
      <c r="E205" s="260">
        <v>1</v>
      </c>
      <c r="F205" s="283">
        <f t="shared" si="3"/>
        <v>730</v>
      </c>
      <c r="G205" s="106" t="s">
        <v>515</v>
      </c>
      <c r="H205" s="658"/>
      <c r="I205" s="676"/>
    </row>
    <row r="206" spans="2:9" ht="30" customHeight="1" thickBot="1" x14ac:dyDescent="0.3">
      <c r="B206" s="263">
        <v>42193</v>
      </c>
      <c r="C206" s="235" t="s">
        <v>388</v>
      </c>
      <c r="D206" s="261">
        <v>350</v>
      </c>
      <c r="E206" s="260">
        <v>2</v>
      </c>
      <c r="F206" s="283">
        <f t="shared" si="3"/>
        <v>700</v>
      </c>
      <c r="G206" s="106" t="s">
        <v>516</v>
      </c>
      <c r="H206" s="658"/>
      <c r="I206" s="676"/>
    </row>
    <row r="207" spans="2:9" ht="30" hidden="1" customHeight="1" thickBot="1" x14ac:dyDescent="0.3">
      <c r="B207" s="265"/>
      <c r="C207" s="243"/>
      <c r="D207" s="254"/>
      <c r="E207" s="251"/>
      <c r="F207" s="245"/>
      <c r="G207" s="246"/>
      <c r="H207" s="667"/>
      <c r="I207" s="677"/>
    </row>
    <row r="208" spans="2:9" ht="30" hidden="1" customHeight="1" thickBot="1" x14ac:dyDescent="0.3">
      <c r="B208" s="278">
        <v>42194</v>
      </c>
      <c r="C208" s="235" t="s">
        <v>180</v>
      </c>
      <c r="D208" s="200">
        <v>1545</v>
      </c>
      <c r="E208" s="201">
        <v>1</v>
      </c>
      <c r="F208" s="200">
        <f t="shared" si="3"/>
        <v>1545</v>
      </c>
      <c r="G208" s="181" t="s">
        <v>517</v>
      </c>
      <c r="H208" s="671" t="s">
        <v>494</v>
      </c>
      <c r="I208" s="675" t="s">
        <v>67</v>
      </c>
    </row>
    <row r="209" spans="2:9" ht="28.5" hidden="1" customHeight="1" thickBot="1" x14ac:dyDescent="0.3">
      <c r="B209" s="263">
        <v>42198</v>
      </c>
      <c r="C209" s="235" t="s">
        <v>180</v>
      </c>
      <c r="D209" s="261">
        <v>3198</v>
      </c>
      <c r="E209" s="260">
        <v>1</v>
      </c>
      <c r="F209" s="261">
        <f t="shared" si="3"/>
        <v>3198</v>
      </c>
      <c r="G209" s="106" t="s">
        <v>518</v>
      </c>
      <c r="H209" s="658"/>
      <c r="I209" s="676"/>
    </row>
    <row r="210" spans="2:9" ht="30.75" hidden="1" customHeight="1" x14ac:dyDescent="0.25">
      <c r="B210" s="263">
        <v>42199</v>
      </c>
      <c r="C210" s="235" t="s">
        <v>180</v>
      </c>
      <c r="D210" s="261">
        <v>600</v>
      </c>
      <c r="E210" s="260">
        <v>1</v>
      </c>
      <c r="F210" s="261">
        <f t="shared" si="3"/>
        <v>600</v>
      </c>
      <c r="G210" s="106" t="s">
        <v>519</v>
      </c>
      <c r="H210" s="658"/>
      <c r="I210" s="676"/>
    </row>
    <row r="211" spans="2:9" ht="30.75" hidden="1" customHeight="1" thickBot="1" x14ac:dyDescent="0.3">
      <c r="B211" s="265"/>
      <c r="C211" s="250"/>
      <c r="D211" s="254"/>
      <c r="E211" s="251"/>
      <c r="F211" s="245"/>
      <c r="G211" s="246"/>
      <c r="H211" s="667"/>
      <c r="I211" s="677"/>
    </row>
    <row r="212" spans="2:9" ht="30.75" thickBot="1" x14ac:dyDescent="0.3">
      <c r="B212" s="253">
        <v>42199</v>
      </c>
      <c r="C212" s="248" t="s">
        <v>385</v>
      </c>
      <c r="D212" s="203">
        <v>140</v>
      </c>
      <c r="E212" s="204">
        <v>1</v>
      </c>
      <c r="F212" s="297">
        <f>D212*E212</f>
        <v>140</v>
      </c>
      <c r="G212" s="205" t="s">
        <v>520</v>
      </c>
      <c r="H212" s="206" t="s">
        <v>521</v>
      </c>
      <c r="I212" s="249" t="s">
        <v>261</v>
      </c>
    </row>
    <row r="213" spans="2:9" ht="15" customHeight="1" thickBot="1" x14ac:dyDescent="0.3">
      <c r="B213" s="684">
        <v>42199</v>
      </c>
      <c r="C213" s="235" t="s">
        <v>388</v>
      </c>
      <c r="D213" s="200">
        <v>130</v>
      </c>
      <c r="E213" s="201">
        <v>3</v>
      </c>
      <c r="F213" s="341">
        <f t="shared" si="3"/>
        <v>390</v>
      </c>
      <c r="G213" s="181" t="s">
        <v>522</v>
      </c>
      <c r="H213" s="690" t="s">
        <v>523</v>
      </c>
      <c r="I213" s="675">
        <v>90</v>
      </c>
    </row>
    <row r="214" spans="2:9" ht="15.75" thickBot="1" x14ac:dyDescent="0.3">
      <c r="B214" s="685"/>
      <c r="C214" s="235" t="s">
        <v>388</v>
      </c>
      <c r="D214" s="261">
        <v>5.4</v>
      </c>
      <c r="E214" s="260">
        <v>80</v>
      </c>
      <c r="F214" s="283">
        <f t="shared" si="3"/>
        <v>432</v>
      </c>
      <c r="G214" s="106" t="s">
        <v>524</v>
      </c>
      <c r="H214" s="691"/>
      <c r="I214" s="676"/>
    </row>
    <row r="215" spans="2:9" ht="15.75" thickBot="1" x14ac:dyDescent="0.3">
      <c r="B215" s="685"/>
      <c r="C215" s="235" t="s">
        <v>388</v>
      </c>
      <c r="D215" s="261">
        <v>40</v>
      </c>
      <c r="E215" s="260">
        <v>5</v>
      </c>
      <c r="F215" s="283">
        <f t="shared" si="3"/>
        <v>200</v>
      </c>
      <c r="G215" s="106" t="s">
        <v>525</v>
      </c>
      <c r="H215" s="691"/>
      <c r="I215" s="676"/>
    </row>
    <row r="216" spans="2:9" ht="15" customHeight="1" thickBot="1" x14ac:dyDescent="0.3">
      <c r="B216" s="685">
        <v>42199</v>
      </c>
      <c r="C216" s="235" t="s">
        <v>388</v>
      </c>
      <c r="D216" s="261">
        <v>392.5</v>
      </c>
      <c r="E216" s="260">
        <v>2</v>
      </c>
      <c r="F216" s="283">
        <f t="shared" si="3"/>
        <v>785</v>
      </c>
      <c r="G216" s="106" t="s">
        <v>526</v>
      </c>
      <c r="H216" s="691"/>
      <c r="I216" s="676"/>
    </row>
    <row r="217" spans="2:9" ht="15.75" thickBot="1" x14ac:dyDescent="0.3">
      <c r="B217" s="685"/>
      <c r="C217" s="235" t="s">
        <v>388</v>
      </c>
      <c r="D217" s="261">
        <v>350</v>
      </c>
      <c r="E217" s="260">
        <v>1</v>
      </c>
      <c r="F217" s="283">
        <v>350</v>
      </c>
      <c r="G217" s="106" t="s">
        <v>527</v>
      </c>
      <c r="H217" s="691"/>
      <c r="I217" s="676"/>
    </row>
    <row r="218" spans="2:9" ht="15.75" thickBot="1" x14ac:dyDescent="0.3">
      <c r="B218" s="685"/>
      <c r="C218" s="235" t="s">
        <v>388</v>
      </c>
      <c r="D218" s="261">
        <v>350</v>
      </c>
      <c r="E218" s="260">
        <v>1</v>
      </c>
      <c r="F218" s="283">
        <v>350</v>
      </c>
      <c r="G218" s="106" t="s">
        <v>528</v>
      </c>
      <c r="H218" s="691"/>
      <c r="I218" s="676"/>
    </row>
    <row r="219" spans="2:9" ht="15" customHeight="1" thickBot="1" x14ac:dyDescent="0.3">
      <c r="B219" s="685">
        <v>42199</v>
      </c>
      <c r="C219" s="235" t="s">
        <v>388</v>
      </c>
      <c r="D219" s="261">
        <v>18</v>
      </c>
      <c r="E219" s="260">
        <v>4</v>
      </c>
      <c r="F219" s="283">
        <f>D219*E219</f>
        <v>72</v>
      </c>
      <c r="G219" s="106" t="s">
        <v>529</v>
      </c>
      <c r="H219" s="691"/>
      <c r="I219" s="676"/>
    </row>
    <row r="220" spans="2:9" ht="15.75" thickBot="1" x14ac:dyDescent="0.3">
      <c r="B220" s="685"/>
      <c r="C220" s="235" t="s">
        <v>388</v>
      </c>
      <c r="D220" s="261">
        <v>9</v>
      </c>
      <c r="E220" s="260">
        <v>4</v>
      </c>
      <c r="F220" s="283">
        <f>D220*E220</f>
        <v>36</v>
      </c>
      <c r="G220" s="106" t="s">
        <v>530</v>
      </c>
      <c r="H220" s="691"/>
      <c r="I220" s="676"/>
    </row>
    <row r="221" spans="2:9" ht="15.75" thickBot="1" x14ac:dyDescent="0.3">
      <c r="B221" s="685"/>
      <c r="C221" s="235" t="s">
        <v>388</v>
      </c>
      <c r="D221" s="261">
        <v>144</v>
      </c>
      <c r="E221" s="260">
        <v>4</v>
      </c>
      <c r="F221" s="283">
        <f>D221*E221</f>
        <v>576</v>
      </c>
      <c r="G221" s="106" t="s">
        <v>531</v>
      </c>
      <c r="H221" s="691"/>
      <c r="I221" s="676"/>
    </row>
    <row r="222" spans="2:9" ht="15.75" hidden="1" thickBot="1" x14ac:dyDescent="0.3">
      <c r="B222" s="265"/>
      <c r="C222" s="250"/>
      <c r="D222" s="254"/>
      <c r="E222" s="251"/>
      <c r="F222" s="245"/>
      <c r="G222" s="246"/>
      <c r="H222" s="692"/>
      <c r="I222" s="677"/>
    </row>
    <row r="223" spans="2:9" ht="30" hidden="1" customHeight="1" thickBot="1" x14ac:dyDescent="0.3">
      <c r="B223" s="278">
        <v>42202</v>
      </c>
      <c r="C223" s="235" t="s">
        <v>383</v>
      </c>
      <c r="D223" s="200">
        <v>142.19</v>
      </c>
      <c r="E223" s="201">
        <v>5</v>
      </c>
      <c r="F223" s="200">
        <f>D223*E223</f>
        <v>710.95</v>
      </c>
      <c r="G223" s="181" t="s">
        <v>532</v>
      </c>
      <c r="H223" s="671" t="s">
        <v>533</v>
      </c>
      <c r="I223" s="279">
        <v>88</v>
      </c>
    </row>
    <row r="224" spans="2:9" ht="30" hidden="1" customHeight="1" x14ac:dyDescent="0.25">
      <c r="B224" s="263">
        <v>42205</v>
      </c>
      <c r="C224" s="235" t="s">
        <v>383</v>
      </c>
      <c r="D224" s="261">
        <v>68</v>
      </c>
      <c r="E224" s="260">
        <v>1</v>
      </c>
      <c r="F224" s="261">
        <f>D224*E224</f>
        <v>68</v>
      </c>
      <c r="G224" s="106" t="s">
        <v>534</v>
      </c>
      <c r="H224" s="658"/>
      <c r="I224" s="264">
        <v>90</v>
      </c>
    </row>
    <row r="225" spans="2:9" ht="15.75" hidden="1" thickBot="1" x14ac:dyDescent="0.3">
      <c r="B225" s="265"/>
      <c r="C225" s="250"/>
      <c r="D225" s="254"/>
      <c r="E225" s="251"/>
      <c r="F225" s="245"/>
      <c r="G225" s="246"/>
      <c r="H225" s="667"/>
      <c r="I225" s="266"/>
    </row>
    <row r="226" spans="2:9" ht="15.75" thickBot="1" x14ac:dyDescent="0.3">
      <c r="B226" s="278">
        <v>42222</v>
      </c>
      <c r="C226" s="235" t="s">
        <v>388</v>
      </c>
      <c r="D226" s="200">
        <v>45</v>
      </c>
      <c r="E226" s="201">
        <v>1</v>
      </c>
      <c r="F226" s="341">
        <f t="shared" ref="F226:F274" si="4">D226*E226</f>
        <v>45</v>
      </c>
      <c r="G226" s="181" t="s">
        <v>535</v>
      </c>
      <c r="H226" s="671" t="s">
        <v>536</v>
      </c>
      <c r="I226" s="675">
        <v>88</v>
      </c>
    </row>
    <row r="227" spans="2:9" ht="15" customHeight="1" thickBot="1" x14ac:dyDescent="0.3">
      <c r="B227" s="685">
        <v>42222</v>
      </c>
      <c r="C227" s="235" t="s">
        <v>388</v>
      </c>
      <c r="D227" s="261">
        <v>162</v>
      </c>
      <c r="E227" s="260">
        <v>2</v>
      </c>
      <c r="F227" s="283">
        <f t="shared" si="4"/>
        <v>324</v>
      </c>
      <c r="G227" s="106" t="s">
        <v>537</v>
      </c>
      <c r="H227" s="658"/>
      <c r="I227" s="676"/>
    </row>
    <row r="228" spans="2:9" ht="15.75" thickBot="1" x14ac:dyDescent="0.3">
      <c r="B228" s="685"/>
      <c r="C228" s="235" t="s">
        <v>388</v>
      </c>
      <c r="D228" s="261">
        <v>45</v>
      </c>
      <c r="E228" s="260">
        <v>4</v>
      </c>
      <c r="F228" s="283">
        <f t="shared" si="4"/>
        <v>180</v>
      </c>
      <c r="G228" s="106" t="s">
        <v>535</v>
      </c>
      <c r="H228" s="658"/>
      <c r="I228" s="676"/>
    </row>
    <row r="229" spans="2:9" ht="15.75" thickBot="1" x14ac:dyDescent="0.3">
      <c r="B229" s="685"/>
      <c r="C229" s="235" t="s">
        <v>388</v>
      </c>
      <c r="D229" s="261">
        <v>135</v>
      </c>
      <c r="E229" s="260">
        <v>4</v>
      </c>
      <c r="F229" s="283">
        <f t="shared" si="4"/>
        <v>540</v>
      </c>
      <c r="G229" s="106" t="s">
        <v>538</v>
      </c>
      <c r="H229" s="658"/>
      <c r="I229" s="676"/>
    </row>
    <row r="230" spans="2:9" ht="15.75" hidden="1" thickBot="1" x14ac:dyDescent="0.3">
      <c r="B230" s="265"/>
      <c r="C230" s="250"/>
      <c r="D230" s="254"/>
      <c r="E230" s="251"/>
      <c r="F230" s="245"/>
      <c r="G230" s="246"/>
      <c r="H230" s="667"/>
      <c r="I230" s="677"/>
    </row>
    <row r="231" spans="2:9" ht="15.75" hidden="1" thickBot="1" x14ac:dyDescent="0.3">
      <c r="B231" s="684">
        <v>42243</v>
      </c>
      <c r="C231" s="235" t="s">
        <v>367</v>
      </c>
      <c r="D231" s="200">
        <v>200</v>
      </c>
      <c r="E231" s="201">
        <v>1</v>
      </c>
      <c r="F231" s="200">
        <f t="shared" si="4"/>
        <v>200</v>
      </c>
      <c r="G231" s="181" t="s">
        <v>539</v>
      </c>
      <c r="H231" s="671" t="s">
        <v>193</v>
      </c>
      <c r="I231" s="675">
        <v>92</v>
      </c>
    </row>
    <row r="232" spans="2:9" ht="15.75" hidden="1" thickBot="1" x14ac:dyDescent="0.3">
      <c r="B232" s="685"/>
      <c r="C232" s="235" t="s">
        <v>367</v>
      </c>
      <c r="D232" s="261">
        <v>6</v>
      </c>
      <c r="E232" s="260">
        <v>2</v>
      </c>
      <c r="F232" s="261">
        <f t="shared" si="4"/>
        <v>12</v>
      </c>
      <c r="G232" s="106" t="s">
        <v>540</v>
      </c>
      <c r="H232" s="658"/>
      <c r="I232" s="676"/>
    </row>
    <row r="233" spans="2:9" ht="15.75" hidden="1" thickBot="1" x14ac:dyDescent="0.3">
      <c r="B233" s="265"/>
      <c r="C233" s="250"/>
      <c r="D233" s="254"/>
      <c r="E233" s="251"/>
      <c r="F233" s="245"/>
      <c r="G233" s="246"/>
      <c r="H233" s="667"/>
      <c r="I233" s="677"/>
    </row>
    <row r="234" spans="2:9" ht="15.75" thickBot="1" x14ac:dyDescent="0.3">
      <c r="B234" s="253">
        <v>42255</v>
      </c>
      <c r="C234" s="248" t="s">
        <v>385</v>
      </c>
      <c r="D234" s="203">
        <v>62.4</v>
      </c>
      <c r="E234" s="204">
        <v>3</v>
      </c>
      <c r="F234" s="297">
        <f t="shared" si="4"/>
        <v>187.2</v>
      </c>
      <c r="G234" s="205" t="s">
        <v>439</v>
      </c>
      <c r="H234" s="207" t="s">
        <v>541</v>
      </c>
      <c r="I234" s="249" t="s">
        <v>245</v>
      </c>
    </row>
    <row r="235" spans="2:9" ht="15.75" hidden="1" thickBot="1" x14ac:dyDescent="0.3">
      <c r="B235" s="672">
        <v>42255</v>
      </c>
      <c r="C235" s="235" t="s">
        <v>367</v>
      </c>
      <c r="D235" s="200">
        <v>15</v>
      </c>
      <c r="E235" s="201">
        <v>2</v>
      </c>
      <c r="F235" s="200">
        <f t="shared" si="4"/>
        <v>30</v>
      </c>
      <c r="G235" s="181" t="s">
        <v>542</v>
      </c>
      <c r="H235" s="671" t="s">
        <v>194</v>
      </c>
      <c r="I235" s="675">
        <v>92</v>
      </c>
    </row>
    <row r="236" spans="2:9" ht="15.75" hidden="1" thickBot="1" x14ac:dyDescent="0.3">
      <c r="B236" s="673"/>
      <c r="C236" s="235" t="s">
        <v>367</v>
      </c>
      <c r="D236" s="261">
        <v>15</v>
      </c>
      <c r="E236" s="260">
        <v>2</v>
      </c>
      <c r="F236" s="195">
        <f t="shared" si="4"/>
        <v>30</v>
      </c>
      <c r="G236" s="185" t="s">
        <v>543</v>
      </c>
      <c r="H236" s="658"/>
      <c r="I236" s="676"/>
    </row>
    <row r="237" spans="2:9" ht="15.75" hidden="1" thickBot="1" x14ac:dyDescent="0.3">
      <c r="B237" s="673"/>
      <c r="C237" s="235" t="s">
        <v>367</v>
      </c>
      <c r="D237" s="261">
        <v>40</v>
      </c>
      <c r="E237" s="260">
        <v>1</v>
      </c>
      <c r="F237" s="195">
        <f t="shared" si="4"/>
        <v>40</v>
      </c>
      <c r="G237" s="106" t="s">
        <v>544</v>
      </c>
      <c r="H237" s="658"/>
      <c r="I237" s="676"/>
    </row>
    <row r="238" spans="2:9" ht="15.75" hidden="1" thickBot="1" x14ac:dyDescent="0.3">
      <c r="B238" s="673"/>
      <c r="C238" s="235" t="s">
        <v>367</v>
      </c>
      <c r="D238" s="217">
        <v>15</v>
      </c>
      <c r="E238" s="216">
        <v>1</v>
      </c>
      <c r="F238" s="261">
        <f t="shared" si="4"/>
        <v>15</v>
      </c>
      <c r="G238" s="213" t="s">
        <v>545</v>
      </c>
      <c r="H238" s="658"/>
      <c r="I238" s="676"/>
    </row>
    <row r="239" spans="2:9" ht="15.75" hidden="1" thickBot="1" x14ac:dyDescent="0.3">
      <c r="B239" s="674"/>
      <c r="C239" s="250"/>
      <c r="D239" s="254"/>
      <c r="E239" s="251"/>
      <c r="F239" s="262"/>
      <c r="G239" s="246"/>
      <c r="H239" s="667"/>
      <c r="I239" s="677"/>
    </row>
    <row r="240" spans="2:9" ht="15" customHeight="1" thickBot="1" x14ac:dyDescent="0.3">
      <c r="B240" s="672">
        <v>42261</v>
      </c>
      <c r="C240" s="235" t="s">
        <v>388</v>
      </c>
      <c r="D240" s="200">
        <v>45</v>
      </c>
      <c r="E240" s="201">
        <v>1</v>
      </c>
      <c r="F240" s="341">
        <f t="shared" si="4"/>
        <v>45</v>
      </c>
      <c r="G240" s="181" t="s">
        <v>546</v>
      </c>
      <c r="H240" s="223" t="s">
        <v>547</v>
      </c>
      <c r="I240" s="675" t="s">
        <v>548</v>
      </c>
    </row>
    <row r="241" spans="1:10" ht="15.75" thickBot="1" x14ac:dyDescent="0.3">
      <c r="B241" s="673"/>
      <c r="C241" s="235" t="s">
        <v>388</v>
      </c>
      <c r="D241" s="261">
        <v>200</v>
      </c>
      <c r="E241" s="260">
        <v>1</v>
      </c>
      <c r="F241" s="283">
        <f t="shared" si="4"/>
        <v>200</v>
      </c>
      <c r="G241" s="106" t="s">
        <v>549</v>
      </c>
      <c r="H241" s="116"/>
      <c r="I241" s="676"/>
    </row>
    <row r="242" spans="1:10" ht="15.75" thickBot="1" x14ac:dyDescent="0.3">
      <c r="B242" s="673"/>
      <c r="C242" s="235" t="s">
        <v>388</v>
      </c>
      <c r="D242" s="261">
        <v>20</v>
      </c>
      <c r="E242" s="260">
        <v>1</v>
      </c>
      <c r="F242" s="283">
        <f t="shared" si="4"/>
        <v>20</v>
      </c>
      <c r="G242" s="106" t="s">
        <v>529</v>
      </c>
      <c r="H242" s="116"/>
      <c r="I242" s="676"/>
    </row>
    <row r="243" spans="1:10" s="286" customFormat="1" ht="15.75" thickBot="1" x14ac:dyDescent="0.3">
      <c r="A243" s="282"/>
      <c r="B243" s="673"/>
      <c r="C243" s="235" t="s">
        <v>388</v>
      </c>
      <c r="D243" s="283">
        <v>40</v>
      </c>
      <c r="E243" s="284">
        <v>3</v>
      </c>
      <c r="F243" s="283">
        <f t="shared" si="4"/>
        <v>120</v>
      </c>
      <c r="G243" s="285" t="s">
        <v>550</v>
      </c>
      <c r="H243" s="116"/>
      <c r="I243" s="676"/>
      <c r="J243" s="683"/>
    </row>
    <row r="244" spans="1:10" s="286" customFormat="1" ht="15.75" thickBot="1" x14ac:dyDescent="0.3">
      <c r="A244" s="282"/>
      <c r="B244" s="673"/>
      <c r="C244" s="235" t="s">
        <v>388</v>
      </c>
      <c r="D244" s="283">
        <v>20</v>
      </c>
      <c r="E244" s="284">
        <v>2</v>
      </c>
      <c r="F244" s="283">
        <f t="shared" si="4"/>
        <v>40</v>
      </c>
      <c r="G244" s="285" t="s">
        <v>551</v>
      </c>
      <c r="H244" s="116"/>
      <c r="I244" s="676"/>
      <c r="J244" s="683"/>
    </row>
    <row r="245" spans="1:10" ht="15.75" thickBot="1" x14ac:dyDescent="0.3">
      <c r="B245" s="673"/>
      <c r="C245" s="235" t="s">
        <v>388</v>
      </c>
      <c r="D245" s="261">
        <v>220</v>
      </c>
      <c r="E245" s="260">
        <v>1</v>
      </c>
      <c r="F245" s="283">
        <f t="shared" si="4"/>
        <v>220</v>
      </c>
      <c r="G245" s="106" t="s">
        <v>552</v>
      </c>
      <c r="H245" s="116"/>
      <c r="I245" s="676"/>
    </row>
    <row r="246" spans="1:10" ht="15.75" hidden="1" customHeight="1" thickBot="1" x14ac:dyDescent="0.3">
      <c r="B246" s="674"/>
      <c r="C246" s="250"/>
      <c r="D246" s="254"/>
      <c r="E246" s="251"/>
      <c r="F246" s="245"/>
      <c r="G246" s="246"/>
      <c r="H246" s="189"/>
      <c r="I246" s="677"/>
    </row>
    <row r="247" spans="1:10" ht="15.75" hidden="1" thickBot="1" x14ac:dyDescent="0.3">
      <c r="B247" s="253">
        <v>42262</v>
      </c>
      <c r="C247" s="248" t="s">
        <v>367</v>
      </c>
      <c r="D247" s="203">
        <v>1.8</v>
      </c>
      <c r="E247" s="204">
        <v>160</v>
      </c>
      <c r="F247" s="203">
        <f t="shared" si="4"/>
        <v>288</v>
      </c>
      <c r="G247" s="205" t="s">
        <v>553</v>
      </c>
      <c r="H247" s="206" t="s">
        <v>554</v>
      </c>
      <c r="I247" s="249">
        <v>88</v>
      </c>
    </row>
    <row r="248" spans="1:10" ht="15" customHeight="1" thickBot="1" x14ac:dyDescent="0.3">
      <c r="B248" s="684">
        <v>42264</v>
      </c>
      <c r="C248" s="235" t="s">
        <v>388</v>
      </c>
      <c r="D248" s="200">
        <v>45</v>
      </c>
      <c r="E248" s="201">
        <v>1</v>
      </c>
      <c r="F248" s="341">
        <f t="shared" si="4"/>
        <v>45</v>
      </c>
      <c r="G248" s="181" t="s">
        <v>555</v>
      </c>
      <c r="H248" s="223" t="s">
        <v>214</v>
      </c>
      <c r="I248" s="675">
        <v>92</v>
      </c>
    </row>
    <row r="249" spans="1:10" ht="15.75" thickBot="1" x14ac:dyDescent="0.3">
      <c r="B249" s="685"/>
      <c r="C249" s="235" t="s">
        <v>388</v>
      </c>
      <c r="D249" s="261">
        <v>12</v>
      </c>
      <c r="E249" s="260">
        <v>4</v>
      </c>
      <c r="F249" s="283">
        <f t="shared" si="4"/>
        <v>48</v>
      </c>
      <c r="G249" s="106" t="s">
        <v>556</v>
      </c>
      <c r="H249" s="116"/>
      <c r="I249" s="676"/>
    </row>
    <row r="250" spans="1:10" ht="15.75" thickBot="1" x14ac:dyDescent="0.3">
      <c r="B250" s="685"/>
      <c r="C250" s="235" t="s">
        <v>388</v>
      </c>
      <c r="D250" s="261">
        <v>8</v>
      </c>
      <c r="E250" s="260">
        <v>2</v>
      </c>
      <c r="F250" s="283">
        <f t="shared" si="4"/>
        <v>16</v>
      </c>
      <c r="G250" s="106" t="s">
        <v>557</v>
      </c>
      <c r="H250" s="116"/>
      <c r="I250" s="676"/>
    </row>
    <row r="251" spans="1:10" ht="18.75" customHeight="1" thickBot="1" x14ac:dyDescent="0.3">
      <c r="B251" s="685"/>
      <c r="C251" s="235" t="s">
        <v>388</v>
      </c>
      <c r="D251" s="261">
        <v>150</v>
      </c>
      <c r="E251" s="260">
        <v>1</v>
      </c>
      <c r="F251" s="283">
        <f t="shared" si="4"/>
        <v>150</v>
      </c>
      <c r="G251" s="106" t="s">
        <v>558</v>
      </c>
      <c r="H251" s="116"/>
      <c r="I251" s="676"/>
    </row>
    <row r="252" spans="1:10" ht="19.5" customHeight="1" thickBot="1" x14ac:dyDescent="0.3">
      <c r="B252" s="685"/>
      <c r="C252" s="235" t="s">
        <v>388</v>
      </c>
      <c r="D252" s="261">
        <v>150</v>
      </c>
      <c r="E252" s="260">
        <v>3</v>
      </c>
      <c r="F252" s="283">
        <f t="shared" si="4"/>
        <v>450</v>
      </c>
      <c r="G252" s="106" t="s">
        <v>559</v>
      </c>
      <c r="H252" s="116"/>
      <c r="I252" s="676"/>
    </row>
    <row r="253" spans="1:10" ht="15.75" thickBot="1" x14ac:dyDescent="0.3">
      <c r="B253" s="685"/>
      <c r="C253" s="235" t="s">
        <v>388</v>
      </c>
      <c r="D253" s="261">
        <v>10</v>
      </c>
      <c r="E253" s="260">
        <v>6</v>
      </c>
      <c r="F253" s="283">
        <f t="shared" si="4"/>
        <v>60</v>
      </c>
      <c r="G253" s="285" t="s">
        <v>560</v>
      </c>
      <c r="H253" s="116"/>
      <c r="I253" s="676"/>
    </row>
    <row r="254" spans="1:10" ht="15.75" thickBot="1" x14ac:dyDescent="0.3">
      <c r="B254" s="685"/>
      <c r="C254" s="235" t="s">
        <v>388</v>
      </c>
      <c r="D254" s="261">
        <v>40</v>
      </c>
      <c r="E254" s="260">
        <v>4</v>
      </c>
      <c r="F254" s="283">
        <f t="shared" si="4"/>
        <v>160</v>
      </c>
      <c r="G254" s="106" t="s">
        <v>561</v>
      </c>
      <c r="H254" s="116"/>
      <c r="I254" s="676"/>
    </row>
    <row r="255" spans="1:10" ht="15.75" thickBot="1" x14ac:dyDescent="0.3">
      <c r="B255" s="685"/>
      <c r="C255" s="235" t="s">
        <v>388</v>
      </c>
      <c r="D255" s="261">
        <v>35</v>
      </c>
      <c r="E255" s="260">
        <v>1</v>
      </c>
      <c r="F255" s="283">
        <f t="shared" si="4"/>
        <v>35</v>
      </c>
      <c r="G255" s="106" t="s">
        <v>562</v>
      </c>
      <c r="H255" s="116"/>
      <c r="I255" s="676"/>
    </row>
    <row r="256" spans="1:10" ht="15.75" hidden="1" customHeight="1" thickBot="1" x14ac:dyDescent="0.3">
      <c r="B256" s="686"/>
      <c r="C256" s="250"/>
      <c r="D256" s="254"/>
      <c r="E256" s="251"/>
      <c r="F256" s="245"/>
      <c r="G256" s="246"/>
      <c r="H256" s="189"/>
      <c r="I256" s="677"/>
    </row>
    <row r="257" spans="1:9" ht="30" customHeight="1" thickBot="1" x14ac:dyDescent="0.3">
      <c r="B257" s="672">
        <v>42268</v>
      </c>
      <c r="C257" s="235" t="s">
        <v>388</v>
      </c>
      <c r="D257" s="200">
        <v>1447.5</v>
      </c>
      <c r="E257" s="201">
        <v>2</v>
      </c>
      <c r="F257" s="341">
        <f t="shared" si="4"/>
        <v>2895</v>
      </c>
      <c r="G257" s="181" t="s">
        <v>563</v>
      </c>
      <c r="H257" s="223" t="s">
        <v>215</v>
      </c>
      <c r="I257" s="687">
        <v>92</v>
      </c>
    </row>
    <row r="258" spans="1:9" ht="44.25" customHeight="1" thickBot="1" x14ac:dyDescent="0.3">
      <c r="B258" s="673"/>
      <c r="C258" s="235" t="s">
        <v>388</v>
      </c>
      <c r="D258" s="217">
        <v>6.5</v>
      </c>
      <c r="E258" s="216">
        <v>4</v>
      </c>
      <c r="F258" s="342">
        <f t="shared" si="4"/>
        <v>26</v>
      </c>
      <c r="G258" s="213" t="s">
        <v>564</v>
      </c>
      <c r="H258" s="116"/>
      <c r="I258" s="688"/>
    </row>
    <row r="259" spans="1:9" ht="20.25" hidden="1" customHeight="1" thickBot="1" x14ac:dyDescent="0.3">
      <c r="B259" s="674"/>
      <c r="C259" s="250"/>
      <c r="D259" s="254"/>
      <c r="E259" s="251"/>
      <c r="F259" s="245"/>
      <c r="G259" s="246"/>
      <c r="H259" s="189"/>
      <c r="I259" s="689"/>
    </row>
    <row r="260" spans="1:9" s="294" customFormat="1" ht="27.75" hidden="1" customHeight="1" thickBot="1" x14ac:dyDescent="0.3">
      <c r="A260" s="287"/>
      <c r="B260" s="288"/>
      <c r="C260" s="289"/>
      <c r="D260" s="290"/>
      <c r="E260" s="291"/>
      <c r="F260" s="290"/>
      <c r="G260" s="292"/>
      <c r="H260" s="292"/>
      <c r="I260" s="293"/>
    </row>
    <row r="261" spans="1:9" ht="30.75" hidden="1" thickBot="1" x14ac:dyDescent="0.3">
      <c r="B261" s="253">
        <v>42282</v>
      </c>
      <c r="C261" s="248" t="s">
        <v>367</v>
      </c>
      <c r="D261" s="203">
        <v>220</v>
      </c>
      <c r="E261" s="204">
        <v>1</v>
      </c>
      <c r="F261" s="203">
        <f t="shared" si="4"/>
        <v>220</v>
      </c>
      <c r="G261" s="205" t="s">
        <v>565</v>
      </c>
      <c r="H261" s="207" t="s">
        <v>566</v>
      </c>
      <c r="I261" s="249">
        <v>88</v>
      </c>
    </row>
    <row r="262" spans="1:9" ht="30.75" thickBot="1" x14ac:dyDescent="0.3">
      <c r="B262" s="295">
        <v>42290</v>
      </c>
      <c r="C262" s="296" t="s">
        <v>388</v>
      </c>
      <c r="D262" s="297">
        <v>220</v>
      </c>
      <c r="E262" s="298">
        <v>1</v>
      </c>
      <c r="F262" s="297">
        <f t="shared" si="4"/>
        <v>220</v>
      </c>
      <c r="G262" s="299" t="s">
        <v>567</v>
      </c>
      <c r="H262" s="299" t="s">
        <v>568</v>
      </c>
      <c r="I262" s="300" t="s">
        <v>67</v>
      </c>
    </row>
    <row r="263" spans="1:9" ht="15" customHeight="1" thickBot="1" x14ac:dyDescent="0.3">
      <c r="B263" s="672">
        <v>42325</v>
      </c>
      <c r="C263" s="235" t="s">
        <v>388</v>
      </c>
      <c r="D263" s="200">
        <v>55</v>
      </c>
      <c r="E263" s="201">
        <v>10</v>
      </c>
      <c r="F263" s="341">
        <f t="shared" si="4"/>
        <v>550</v>
      </c>
      <c r="G263" s="181" t="s">
        <v>569</v>
      </c>
      <c r="H263" s="223" t="s">
        <v>216</v>
      </c>
      <c r="I263" s="680">
        <v>88</v>
      </c>
    </row>
    <row r="264" spans="1:9" ht="15.75" thickBot="1" x14ac:dyDescent="0.3">
      <c r="B264" s="673"/>
      <c r="C264" s="235" t="s">
        <v>388</v>
      </c>
      <c r="D264" s="261">
        <v>150</v>
      </c>
      <c r="E264" s="260">
        <v>2</v>
      </c>
      <c r="F264" s="283">
        <f t="shared" si="4"/>
        <v>300</v>
      </c>
      <c r="G264" s="106" t="s">
        <v>570</v>
      </c>
      <c r="H264" s="116"/>
      <c r="I264" s="681"/>
    </row>
    <row r="265" spans="1:9" ht="15.75" thickBot="1" x14ac:dyDescent="0.3">
      <c r="B265" s="673"/>
      <c r="C265" s="235" t="s">
        <v>388</v>
      </c>
      <c r="D265" s="261">
        <v>90</v>
      </c>
      <c r="E265" s="260">
        <v>2</v>
      </c>
      <c r="F265" s="283">
        <f t="shared" si="4"/>
        <v>180</v>
      </c>
      <c r="G265" s="106" t="s">
        <v>571</v>
      </c>
      <c r="H265" s="116"/>
      <c r="I265" s="681"/>
    </row>
    <row r="266" spans="1:9" ht="15.75" thickBot="1" x14ac:dyDescent="0.3">
      <c r="B266" s="673"/>
      <c r="C266" s="235" t="s">
        <v>388</v>
      </c>
      <c r="D266" s="261">
        <v>90</v>
      </c>
      <c r="E266" s="260">
        <v>2</v>
      </c>
      <c r="F266" s="283">
        <f t="shared" si="4"/>
        <v>180</v>
      </c>
      <c r="G266" s="106" t="s">
        <v>572</v>
      </c>
      <c r="H266" s="116"/>
      <c r="I266" s="681"/>
    </row>
    <row r="267" spans="1:9" ht="15.75" hidden="1" customHeight="1" thickBot="1" x14ac:dyDescent="0.3">
      <c r="B267" s="674"/>
      <c r="C267" s="250"/>
      <c r="D267" s="254"/>
      <c r="E267" s="251"/>
      <c r="F267" s="245"/>
      <c r="G267" s="246"/>
      <c r="H267" s="189"/>
      <c r="I267" s="682"/>
    </row>
    <row r="268" spans="1:9" ht="30.75" hidden="1" thickBot="1" x14ac:dyDescent="0.3">
      <c r="B268" s="278">
        <v>42325</v>
      </c>
      <c r="C268" s="235" t="s">
        <v>180</v>
      </c>
      <c r="D268" s="200">
        <v>1100</v>
      </c>
      <c r="E268" s="201">
        <v>1</v>
      </c>
      <c r="F268" s="200">
        <f t="shared" si="4"/>
        <v>1100</v>
      </c>
      <c r="G268" s="181" t="s">
        <v>573</v>
      </c>
      <c r="H268" s="181" t="s">
        <v>574</v>
      </c>
      <c r="I268" s="301" t="s">
        <v>261</v>
      </c>
    </row>
    <row r="269" spans="1:9" ht="30.75" hidden="1" thickBot="1" x14ac:dyDescent="0.3">
      <c r="B269" s="263">
        <v>42339</v>
      </c>
      <c r="C269" s="235" t="s">
        <v>180</v>
      </c>
      <c r="D269" s="261">
        <v>3262</v>
      </c>
      <c r="E269" s="260">
        <v>1</v>
      </c>
      <c r="F269" s="261">
        <f t="shared" si="4"/>
        <v>3262</v>
      </c>
      <c r="G269" s="106" t="s">
        <v>575</v>
      </c>
      <c r="H269" s="106" t="s">
        <v>576</v>
      </c>
      <c r="I269" s="302">
        <v>92</v>
      </c>
    </row>
    <row r="270" spans="1:9" ht="15.75" hidden="1" thickBot="1" x14ac:dyDescent="0.3">
      <c r="B270" s="265"/>
      <c r="C270" s="250"/>
      <c r="D270" s="254"/>
      <c r="E270" s="251"/>
      <c r="F270" s="245"/>
      <c r="G270" s="246"/>
      <c r="H270" s="246"/>
      <c r="I270" s="303"/>
    </row>
    <row r="271" spans="1:9" ht="15" customHeight="1" thickBot="1" x14ac:dyDescent="0.3">
      <c r="B271" s="673">
        <v>42339</v>
      </c>
      <c r="C271" s="235" t="s">
        <v>388</v>
      </c>
      <c r="D271" s="195">
        <v>150</v>
      </c>
      <c r="E271" s="196">
        <v>10</v>
      </c>
      <c r="F271" s="321">
        <f t="shared" si="4"/>
        <v>1500</v>
      </c>
      <c r="G271" s="185" t="s">
        <v>577</v>
      </c>
      <c r="H271" s="658" t="s">
        <v>576</v>
      </c>
      <c r="I271" s="681">
        <v>92</v>
      </c>
    </row>
    <row r="272" spans="1:9" ht="15.75" thickBot="1" x14ac:dyDescent="0.3">
      <c r="B272" s="673"/>
      <c r="C272" s="235" t="s">
        <v>388</v>
      </c>
      <c r="D272" s="261">
        <v>30</v>
      </c>
      <c r="E272" s="260">
        <v>5</v>
      </c>
      <c r="F272" s="283">
        <f t="shared" si="4"/>
        <v>150</v>
      </c>
      <c r="G272" s="106" t="s">
        <v>578</v>
      </c>
      <c r="H272" s="658"/>
      <c r="I272" s="681"/>
    </row>
    <row r="273" spans="2:9" ht="15.75" thickBot="1" x14ac:dyDescent="0.3">
      <c r="B273" s="673"/>
      <c r="C273" s="235" t="s">
        <v>388</v>
      </c>
      <c r="D273" s="261">
        <v>80</v>
      </c>
      <c r="E273" s="260">
        <v>2</v>
      </c>
      <c r="F273" s="283">
        <f t="shared" si="4"/>
        <v>160</v>
      </c>
      <c r="G273" s="106" t="s">
        <v>579</v>
      </c>
      <c r="H273" s="658"/>
      <c r="I273" s="681"/>
    </row>
    <row r="274" spans="2:9" ht="15.75" thickBot="1" x14ac:dyDescent="0.3">
      <c r="B274" s="673"/>
      <c r="C274" s="235" t="s">
        <v>388</v>
      </c>
      <c r="D274" s="261">
        <v>140</v>
      </c>
      <c r="E274" s="260">
        <v>3</v>
      </c>
      <c r="F274" s="283">
        <f t="shared" si="4"/>
        <v>420</v>
      </c>
      <c r="G274" s="106" t="s">
        <v>580</v>
      </c>
      <c r="H274" s="658"/>
      <c r="I274" s="681"/>
    </row>
    <row r="275" spans="2:9" ht="15.75" hidden="1" thickBot="1" x14ac:dyDescent="0.3">
      <c r="B275" s="674"/>
      <c r="C275" s="250"/>
      <c r="D275" s="254"/>
      <c r="E275" s="251"/>
      <c r="F275" s="245"/>
      <c r="G275" s="246"/>
      <c r="H275" s="667"/>
      <c r="I275" s="682"/>
    </row>
    <row r="276" spans="2:9" ht="15" customHeight="1" thickBot="1" x14ac:dyDescent="0.3">
      <c r="B276" s="672">
        <v>42342</v>
      </c>
      <c r="C276" s="215" t="s">
        <v>388</v>
      </c>
      <c r="D276" s="304">
        <v>72</v>
      </c>
      <c r="E276" s="305">
        <v>1</v>
      </c>
      <c r="F276" s="343">
        <f t="shared" ref="F276:F286" si="5">D276*E276</f>
        <v>72</v>
      </c>
      <c r="G276" s="305" t="s">
        <v>581</v>
      </c>
      <c r="H276" s="223" t="s">
        <v>217</v>
      </c>
      <c r="I276" s="675">
        <v>92</v>
      </c>
    </row>
    <row r="277" spans="2:9" ht="15.75" thickBot="1" x14ac:dyDescent="0.3">
      <c r="B277" s="673"/>
      <c r="C277" s="215" t="s">
        <v>388</v>
      </c>
      <c r="D277" s="306">
        <v>45</v>
      </c>
      <c r="E277" s="307">
        <v>10</v>
      </c>
      <c r="F277" s="344">
        <f t="shared" si="5"/>
        <v>450</v>
      </c>
      <c r="G277" s="307" t="s">
        <v>582</v>
      </c>
      <c r="H277" s="116"/>
      <c r="I277" s="676"/>
    </row>
    <row r="278" spans="2:9" ht="15.75" thickBot="1" x14ac:dyDescent="0.3">
      <c r="B278" s="673"/>
      <c r="C278" s="215" t="s">
        <v>388</v>
      </c>
      <c r="D278" s="306">
        <v>9</v>
      </c>
      <c r="E278" s="307">
        <v>10</v>
      </c>
      <c r="F278" s="344">
        <f t="shared" si="5"/>
        <v>90</v>
      </c>
      <c r="G278" s="307" t="s">
        <v>583</v>
      </c>
      <c r="H278" s="116"/>
      <c r="I278" s="676"/>
    </row>
    <row r="279" spans="2:9" ht="15.75" thickBot="1" x14ac:dyDescent="0.3">
      <c r="B279" s="673"/>
      <c r="C279" s="215" t="s">
        <v>388</v>
      </c>
      <c r="D279" s="306">
        <v>18</v>
      </c>
      <c r="E279" s="307">
        <v>5</v>
      </c>
      <c r="F279" s="344">
        <f t="shared" si="5"/>
        <v>90</v>
      </c>
      <c r="G279" s="307" t="s">
        <v>584</v>
      </c>
      <c r="H279" s="116"/>
      <c r="I279" s="676"/>
    </row>
    <row r="280" spans="2:9" ht="15.75" thickBot="1" x14ac:dyDescent="0.3">
      <c r="B280" s="673"/>
      <c r="C280" s="215" t="s">
        <v>388</v>
      </c>
      <c r="D280" s="306">
        <v>135</v>
      </c>
      <c r="E280" s="307">
        <v>10</v>
      </c>
      <c r="F280" s="344">
        <f t="shared" si="5"/>
        <v>1350</v>
      </c>
      <c r="G280" s="308" t="s">
        <v>585</v>
      </c>
      <c r="H280" s="116"/>
      <c r="I280" s="676"/>
    </row>
    <row r="281" spans="2:9" ht="15.75" thickBot="1" x14ac:dyDescent="0.3">
      <c r="B281" s="673"/>
      <c r="C281" s="215" t="s">
        <v>388</v>
      </c>
      <c r="D281" s="306">
        <v>27</v>
      </c>
      <c r="E281" s="307">
        <v>1</v>
      </c>
      <c r="F281" s="344">
        <f t="shared" si="5"/>
        <v>27</v>
      </c>
      <c r="G281" s="307" t="s">
        <v>586</v>
      </c>
      <c r="H281" s="116"/>
      <c r="I281" s="676"/>
    </row>
    <row r="282" spans="2:9" ht="15.75" thickBot="1" x14ac:dyDescent="0.3">
      <c r="B282" s="673"/>
      <c r="C282" s="215" t="s">
        <v>388</v>
      </c>
      <c r="D282" s="306">
        <v>9</v>
      </c>
      <c r="E282" s="307">
        <v>2</v>
      </c>
      <c r="F282" s="344">
        <f t="shared" si="5"/>
        <v>18</v>
      </c>
      <c r="G282" s="307" t="s">
        <v>587</v>
      </c>
      <c r="H282" s="116"/>
      <c r="I282" s="676"/>
    </row>
    <row r="283" spans="2:9" ht="15.75" thickBot="1" x14ac:dyDescent="0.3">
      <c r="B283" s="673"/>
      <c r="C283" s="215" t="s">
        <v>388</v>
      </c>
      <c r="D283" s="306">
        <v>360</v>
      </c>
      <c r="E283" s="307">
        <v>1</v>
      </c>
      <c r="F283" s="344">
        <f t="shared" si="5"/>
        <v>360</v>
      </c>
      <c r="G283" s="308" t="s">
        <v>588</v>
      </c>
      <c r="H283" s="116"/>
      <c r="I283" s="676"/>
    </row>
    <row r="284" spans="2:9" ht="15.75" thickBot="1" x14ac:dyDescent="0.3">
      <c r="B284" s="673"/>
      <c r="C284" s="215" t="s">
        <v>388</v>
      </c>
      <c r="D284" s="309">
        <v>225</v>
      </c>
      <c r="E284" s="310">
        <v>1</v>
      </c>
      <c r="F284" s="345">
        <f t="shared" si="5"/>
        <v>225</v>
      </c>
      <c r="G284" s="146" t="s">
        <v>589</v>
      </c>
      <c r="H284" s="116"/>
      <c r="I284" s="676"/>
    </row>
    <row r="285" spans="2:9" ht="15" customHeight="1" thickBot="1" x14ac:dyDescent="0.3">
      <c r="B285" s="673"/>
      <c r="C285" s="215" t="s">
        <v>388</v>
      </c>
      <c r="D285" s="261">
        <v>12.5</v>
      </c>
      <c r="E285" s="260">
        <v>10</v>
      </c>
      <c r="F285" s="283">
        <f t="shared" si="5"/>
        <v>125</v>
      </c>
      <c r="G285" s="106" t="s">
        <v>590</v>
      </c>
      <c r="H285" s="116"/>
      <c r="I285" s="676"/>
    </row>
    <row r="286" spans="2:9" ht="15.75" thickBot="1" x14ac:dyDescent="0.3">
      <c r="B286" s="673"/>
      <c r="C286" s="215" t="s">
        <v>388</v>
      </c>
      <c r="D286" s="261">
        <v>1200</v>
      </c>
      <c r="E286" s="260">
        <v>1</v>
      </c>
      <c r="F286" s="283">
        <f t="shared" si="5"/>
        <v>1200</v>
      </c>
      <c r="G286" s="106" t="s">
        <v>591</v>
      </c>
      <c r="H286" s="116"/>
      <c r="I286" s="676"/>
    </row>
    <row r="287" spans="2:9" ht="15.75" thickBot="1" x14ac:dyDescent="0.3">
      <c r="B287" s="673"/>
      <c r="C287" s="215" t="s">
        <v>388</v>
      </c>
      <c r="D287" s="261">
        <v>386.36</v>
      </c>
      <c r="E287" s="260">
        <v>2.2000000000000002</v>
      </c>
      <c r="F287" s="283">
        <v>850</v>
      </c>
      <c r="G287" s="106" t="s">
        <v>592</v>
      </c>
      <c r="H287" s="116"/>
      <c r="I287" s="676"/>
    </row>
    <row r="288" spans="2:9" ht="15.75" hidden="1" customHeight="1" thickBot="1" x14ac:dyDescent="0.3">
      <c r="B288" s="674"/>
      <c r="C288" s="188"/>
      <c r="D288" s="254"/>
      <c r="E288" s="251"/>
      <c r="F288" s="245"/>
      <c r="G288" s="246"/>
      <c r="H288" s="189"/>
      <c r="I288" s="677"/>
    </row>
    <row r="289" spans="2:9" ht="15.75" thickBot="1" x14ac:dyDescent="0.3">
      <c r="B289" s="253">
        <v>42349</v>
      </c>
      <c r="C289" s="248" t="s">
        <v>388</v>
      </c>
      <c r="D289" s="203">
        <v>13.74</v>
      </c>
      <c r="E289" s="204">
        <v>10</v>
      </c>
      <c r="F289" s="297">
        <f>D289*E289</f>
        <v>137.4</v>
      </c>
      <c r="G289" s="205" t="s">
        <v>593</v>
      </c>
      <c r="H289" s="206"/>
      <c r="I289" s="249" t="s">
        <v>67</v>
      </c>
    </row>
    <row r="290" spans="2:9" hidden="1" x14ac:dyDescent="0.25">
      <c r="B290" s="183"/>
      <c r="C290" s="311"/>
      <c r="D290" s="195"/>
      <c r="E290" s="196"/>
      <c r="F290" s="195"/>
      <c r="G290" s="185"/>
      <c r="H290" s="118"/>
      <c r="I290" s="199"/>
    </row>
    <row r="291" spans="2:9" hidden="1" x14ac:dyDescent="0.25">
      <c r="B291" s="312"/>
      <c r="C291" s="313"/>
      <c r="D291" s="314"/>
      <c r="E291" s="315"/>
      <c r="F291" s="316">
        <f>SUM(F51:F290)-F73-F80-F88-F94-F99-F111-F116-F121-F127-F132-F151-F162-F173-F179-F182-F189-F202-F207-F211-F222-F225-F230-F233-F239-F246-F256-F259-F267-F270-F275-F288</f>
        <v>111222.56999999999</v>
      </c>
      <c r="G291" s="313"/>
      <c r="H291" s="317"/>
      <c r="I291" s="312"/>
    </row>
    <row r="292" spans="2:9" ht="30" hidden="1" x14ac:dyDescent="0.25">
      <c r="B292" s="199"/>
      <c r="C292" s="185"/>
      <c r="D292" s="195"/>
      <c r="E292" s="318" t="s">
        <v>322</v>
      </c>
      <c r="F292" s="319" t="e">
        <f>F73+F74+F75+F81+F88+F89+F94+#REF!+F99+F111+F116+F121+F127+F128+F132+F133+F134+F151+F152+F162+F173+F179+F182+F189+F202+F207+F211+F222+F225+F230+F233+F234+F239+F246+F247+F256+F259+F261+F262+F267+F270+F275+F288+F289</f>
        <v>#REF!</v>
      </c>
      <c r="G292" s="185"/>
      <c r="H292" s="118"/>
      <c r="I292" s="199"/>
    </row>
    <row r="293" spans="2:9" hidden="1" x14ac:dyDescent="0.25">
      <c r="B293" s="668">
        <v>42377</v>
      </c>
      <c r="C293" s="320"/>
      <c r="D293" s="321">
        <v>50</v>
      </c>
      <c r="E293" s="196">
        <v>1</v>
      </c>
      <c r="F293" s="195">
        <f>D293*E293</f>
        <v>50</v>
      </c>
      <c r="G293" s="322" t="s">
        <v>594</v>
      </c>
      <c r="H293" s="670" t="s">
        <v>595</v>
      </c>
      <c r="I293" s="657">
        <v>90</v>
      </c>
    </row>
    <row r="294" spans="2:9" hidden="1" x14ac:dyDescent="0.25">
      <c r="B294" s="663"/>
      <c r="C294" s="320"/>
      <c r="D294" s="195">
        <v>60</v>
      </c>
      <c r="E294" s="196">
        <v>1</v>
      </c>
      <c r="F294" s="195">
        <f>D294*E294</f>
        <v>60</v>
      </c>
      <c r="G294" s="322" t="s">
        <v>596</v>
      </c>
      <c r="H294" s="665"/>
      <c r="I294" s="658"/>
    </row>
    <row r="295" spans="2:9" ht="15.75" hidden="1" thickBot="1" x14ac:dyDescent="0.3">
      <c r="B295" s="678"/>
      <c r="C295" s="311"/>
      <c r="D295" s="261">
        <v>45</v>
      </c>
      <c r="E295" s="260">
        <v>2</v>
      </c>
      <c r="F295" s="195">
        <f>D295*E295</f>
        <v>90</v>
      </c>
      <c r="G295" s="322" t="s">
        <v>597</v>
      </c>
      <c r="H295" s="666"/>
      <c r="I295" s="679"/>
    </row>
    <row r="296" spans="2:9" ht="30.75" hidden="1" thickBot="1" x14ac:dyDescent="0.3">
      <c r="B296" s="202">
        <v>42394</v>
      </c>
      <c r="C296" s="248"/>
      <c r="D296" s="203">
        <v>142.19</v>
      </c>
      <c r="E296" s="204">
        <v>2</v>
      </c>
      <c r="F296" s="203">
        <f>D296*E296</f>
        <v>284.38</v>
      </c>
      <c r="G296" s="205" t="s">
        <v>598</v>
      </c>
      <c r="H296" s="206" t="s">
        <v>599</v>
      </c>
      <c r="I296" s="207">
        <v>90</v>
      </c>
    </row>
    <row r="297" spans="2:9" ht="30.75" hidden="1" thickBot="1" x14ac:dyDescent="0.3">
      <c r="B297" s="202">
        <v>42394</v>
      </c>
      <c r="C297" s="248"/>
      <c r="D297" s="203">
        <v>250</v>
      </c>
      <c r="E297" s="204">
        <v>2</v>
      </c>
      <c r="F297" s="203">
        <f>D297*E297</f>
        <v>500</v>
      </c>
      <c r="G297" s="205" t="s">
        <v>600</v>
      </c>
      <c r="H297" s="206" t="s">
        <v>601</v>
      </c>
      <c r="I297" s="207">
        <v>90</v>
      </c>
    </row>
    <row r="298" spans="2:9" ht="30.75" hidden="1" thickBot="1" x14ac:dyDescent="0.3">
      <c r="B298" s="202">
        <v>42394</v>
      </c>
      <c r="C298" s="248"/>
      <c r="D298" s="203">
        <v>304.87</v>
      </c>
      <c r="E298" s="204">
        <v>2.46</v>
      </c>
      <c r="F298" s="203">
        <v>750</v>
      </c>
      <c r="G298" s="205" t="s">
        <v>602</v>
      </c>
      <c r="H298" s="206" t="s">
        <v>603</v>
      </c>
      <c r="I298" s="207">
        <v>90</v>
      </c>
    </row>
    <row r="299" spans="2:9" ht="30.75" hidden="1" thickBot="1" x14ac:dyDescent="0.3">
      <c r="B299" s="202">
        <v>42394</v>
      </c>
      <c r="C299" s="248"/>
      <c r="D299" s="203">
        <v>600</v>
      </c>
      <c r="E299" s="204">
        <v>1</v>
      </c>
      <c r="F299" s="203">
        <f t="shared" ref="F299:F357" si="6">D299*E299</f>
        <v>600</v>
      </c>
      <c r="G299" s="205" t="s">
        <v>604</v>
      </c>
      <c r="H299" s="206" t="s">
        <v>605</v>
      </c>
      <c r="I299" s="207">
        <v>90</v>
      </c>
    </row>
    <row r="300" spans="2:9" ht="30.75" hidden="1" thickBot="1" x14ac:dyDescent="0.3">
      <c r="B300" s="202">
        <v>42394</v>
      </c>
      <c r="C300" s="248"/>
      <c r="D300" s="203">
        <v>70</v>
      </c>
      <c r="E300" s="204">
        <v>3</v>
      </c>
      <c r="F300" s="203">
        <f t="shared" si="6"/>
        <v>210</v>
      </c>
      <c r="G300" s="205" t="s">
        <v>606</v>
      </c>
      <c r="H300" s="206" t="s">
        <v>607</v>
      </c>
      <c r="I300" s="207">
        <v>90</v>
      </c>
    </row>
    <row r="301" spans="2:9" hidden="1" x14ac:dyDescent="0.25">
      <c r="B301" s="669">
        <v>42394</v>
      </c>
      <c r="C301" s="235"/>
      <c r="D301" s="200">
        <v>1333.33</v>
      </c>
      <c r="E301" s="201">
        <v>0.9</v>
      </c>
      <c r="F301" s="200">
        <f t="shared" si="6"/>
        <v>1199.9970000000001</v>
      </c>
      <c r="G301" s="181" t="s">
        <v>608</v>
      </c>
      <c r="H301" s="670" t="s">
        <v>609</v>
      </c>
      <c r="I301" s="671">
        <v>90</v>
      </c>
    </row>
    <row r="302" spans="2:9" hidden="1" x14ac:dyDescent="0.25">
      <c r="B302" s="663"/>
      <c r="C302" s="320"/>
      <c r="D302" s="260">
        <v>250</v>
      </c>
      <c r="E302" s="260">
        <v>2</v>
      </c>
      <c r="F302" s="261">
        <f t="shared" si="6"/>
        <v>500</v>
      </c>
      <c r="G302" s="106" t="s">
        <v>610</v>
      </c>
      <c r="H302" s="665"/>
      <c r="I302" s="658"/>
    </row>
    <row r="303" spans="2:9" hidden="1" x14ac:dyDescent="0.25">
      <c r="B303" s="663"/>
      <c r="C303" s="320"/>
      <c r="D303" s="261">
        <v>950</v>
      </c>
      <c r="E303" s="260">
        <v>1</v>
      </c>
      <c r="F303" s="261">
        <f t="shared" si="6"/>
        <v>950</v>
      </c>
      <c r="G303" s="106" t="s">
        <v>611</v>
      </c>
      <c r="H303" s="665"/>
      <c r="I303" s="658"/>
    </row>
    <row r="304" spans="2:9" hidden="1" x14ac:dyDescent="0.25">
      <c r="B304" s="663"/>
      <c r="C304" s="320"/>
      <c r="D304" s="217">
        <v>250</v>
      </c>
      <c r="E304" s="216">
        <v>2</v>
      </c>
      <c r="F304" s="217">
        <f t="shared" si="6"/>
        <v>500</v>
      </c>
      <c r="G304" s="213" t="s">
        <v>600</v>
      </c>
      <c r="H304" s="665"/>
      <c r="I304" s="658"/>
    </row>
    <row r="305" spans="2:9" ht="15.75" hidden="1" thickBot="1" x14ac:dyDescent="0.3">
      <c r="B305" s="664"/>
      <c r="C305" s="250"/>
      <c r="D305" s="254">
        <v>250</v>
      </c>
      <c r="E305" s="251">
        <v>3</v>
      </c>
      <c r="F305" s="251">
        <f t="shared" si="6"/>
        <v>750</v>
      </c>
      <c r="G305" s="246" t="s">
        <v>612</v>
      </c>
      <c r="H305" s="666"/>
      <c r="I305" s="667"/>
    </row>
    <row r="306" spans="2:9" hidden="1" x14ac:dyDescent="0.25">
      <c r="B306" s="669">
        <v>42394</v>
      </c>
      <c r="C306" s="235"/>
      <c r="D306" s="200">
        <v>240</v>
      </c>
      <c r="E306" s="201">
        <v>2</v>
      </c>
      <c r="F306" s="200">
        <f t="shared" si="6"/>
        <v>480</v>
      </c>
      <c r="G306" s="181" t="s">
        <v>613</v>
      </c>
      <c r="H306" s="670" t="s">
        <v>609</v>
      </c>
      <c r="I306" s="671">
        <v>90</v>
      </c>
    </row>
    <row r="307" spans="2:9" hidden="1" x14ac:dyDescent="0.25">
      <c r="B307" s="663"/>
      <c r="C307" s="320"/>
      <c r="D307" s="261">
        <v>300</v>
      </c>
      <c r="E307" s="260">
        <v>2</v>
      </c>
      <c r="F307" s="261">
        <f t="shared" si="6"/>
        <v>600</v>
      </c>
      <c r="G307" s="185" t="s">
        <v>614</v>
      </c>
      <c r="H307" s="665"/>
      <c r="I307" s="658"/>
    </row>
    <row r="308" spans="2:9" hidden="1" x14ac:dyDescent="0.25">
      <c r="B308" s="663"/>
      <c r="C308" s="320"/>
      <c r="D308" s="261">
        <v>17</v>
      </c>
      <c r="E308" s="260">
        <v>2</v>
      </c>
      <c r="F308" s="261">
        <f t="shared" si="6"/>
        <v>34</v>
      </c>
      <c r="G308" s="106" t="s">
        <v>615</v>
      </c>
      <c r="H308" s="665"/>
      <c r="I308" s="658"/>
    </row>
    <row r="309" spans="2:9" hidden="1" x14ac:dyDescent="0.25">
      <c r="B309" s="663"/>
      <c r="C309" s="320"/>
      <c r="D309" s="261">
        <v>40</v>
      </c>
      <c r="E309" s="260">
        <v>4</v>
      </c>
      <c r="F309" s="261">
        <f t="shared" si="6"/>
        <v>160</v>
      </c>
      <c r="G309" s="106" t="s">
        <v>616</v>
      </c>
      <c r="H309" s="665"/>
      <c r="I309" s="658"/>
    </row>
    <row r="310" spans="2:9" hidden="1" x14ac:dyDescent="0.25">
      <c r="B310" s="663"/>
      <c r="C310" s="320"/>
      <c r="D310" s="261">
        <v>1180</v>
      </c>
      <c r="E310" s="260">
        <v>1</v>
      </c>
      <c r="F310" s="261">
        <f t="shared" si="6"/>
        <v>1180</v>
      </c>
      <c r="G310" s="106" t="s">
        <v>617</v>
      </c>
      <c r="H310" s="665"/>
      <c r="I310" s="658"/>
    </row>
    <row r="311" spans="2:9" hidden="1" x14ac:dyDescent="0.25">
      <c r="B311" s="663"/>
      <c r="C311" s="320"/>
      <c r="D311" s="261">
        <v>950</v>
      </c>
      <c r="E311" s="260">
        <v>2</v>
      </c>
      <c r="F311" s="261">
        <f t="shared" si="6"/>
        <v>1900</v>
      </c>
      <c r="G311" s="106" t="s">
        <v>618</v>
      </c>
      <c r="H311" s="665"/>
      <c r="I311" s="658"/>
    </row>
    <row r="312" spans="2:9" hidden="1" x14ac:dyDescent="0.25">
      <c r="B312" s="663"/>
      <c r="C312" s="320"/>
      <c r="D312" s="261">
        <v>460</v>
      </c>
      <c r="E312" s="260">
        <v>2</v>
      </c>
      <c r="F312" s="261">
        <f t="shared" si="6"/>
        <v>920</v>
      </c>
      <c r="G312" s="106" t="s">
        <v>619</v>
      </c>
      <c r="H312" s="665"/>
      <c r="I312" s="658"/>
    </row>
    <row r="313" spans="2:9" hidden="1" x14ac:dyDescent="0.25">
      <c r="B313" s="663"/>
      <c r="C313" s="320"/>
      <c r="D313" s="261">
        <v>85</v>
      </c>
      <c r="E313" s="260">
        <v>1</v>
      </c>
      <c r="F313" s="261">
        <f t="shared" si="6"/>
        <v>85</v>
      </c>
      <c r="G313" s="106" t="s">
        <v>620</v>
      </c>
      <c r="H313" s="665"/>
      <c r="I313" s="658"/>
    </row>
    <row r="314" spans="2:9" hidden="1" x14ac:dyDescent="0.25">
      <c r="B314" s="663"/>
      <c r="C314" s="320"/>
      <c r="D314" s="261">
        <v>210</v>
      </c>
      <c r="E314" s="260">
        <v>2</v>
      </c>
      <c r="F314" s="261">
        <f t="shared" si="6"/>
        <v>420</v>
      </c>
      <c r="G314" s="106" t="s">
        <v>621</v>
      </c>
      <c r="H314" s="665"/>
      <c r="I314" s="658"/>
    </row>
    <row r="315" spans="2:9" hidden="1" x14ac:dyDescent="0.25">
      <c r="B315" s="663"/>
      <c r="C315" s="320"/>
      <c r="D315" s="261">
        <v>330</v>
      </c>
      <c r="E315" s="260">
        <v>2</v>
      </c>
      <c r="F315" s="261">
        <f t="shared" si="6"/>
        <v>660</v>
      </c>
      <c r="G315" s="106" t="s">
        <v>622</v>
      </c>
      <c r="H315" s="665"/>
      <c r="I315" s="658"/>
    </row>
    <row r="316" spans="2:9" hidden="1" x14ac:dyDescent="0.25">
      <c r="B316" s="663"/>
      <c r="C316" s="320"/>
      <c r="D316" s="261">
        <v>50</v>
      </c>
      <c r="E316" s="260">
        <v>2</v>
      </c>
      <c r="F316" s="261">
        <f t="shared" si="6"/>
        <v>100</v>
      </c>
      <c r="G316" s="106" t="s">
        <v>623</v>
      </c>
      <c r="H316" s="665"/>
      <c r="I316" s="658"/>
    </row>
    <row r="317" spans="2:9" ht="15.75" hidden="1" thickBot="1" x14ac:dyDescent="0.3">
      <c r="B317" s="664"/>
      <c r="C317" s="250"/>
      <c r="D317" s="254">
        <v>55</v>
      </c>
      <c r="E317" s="251">
        <v>3</v>
      </c>
      <c r="F317" s="254">
        <f t="shared" si="6"/>
        <v>165</v>
      </c>
      <c r="G317" s="246" t="s">
        <v>624</v>
      </c>
      <c r="H317" s="666"/>
      <c r="I317" s="667"/>
    </row>
    <row r="318" spans="2:9" hidden="1" x14ac:dyDescent="0.25">
      <c r="B318" s="669">
        <v>42395</v>
      </c>
      <c r="C318" s="235"/>
      <c r="D318" s="200">
        <v>109</v>
      </c>
      <c r="E318" s="201">
        <v>2</v>
      </c>
      <c r="F318" s="200">
        <f t="shared" si="6"/>
        <v>218</v>
      </c>
      <c r="G318" s="181" t="s">
        <v>625</v>
      </c>
      <c r="H318" s="670" t="s">
        <v>626</v>
      </c>
      <c r="I318" s="671">
        <v>90</v>
      </c>
    </row>
    <row r="319" spans="2:9" hidden="1" x14ac:dyDescent="0.25">
      <c r="B319" s="663"/>
      <c r="C319" s="320"/>
      <c r="D319" s="261">
        <v>29</v>
      </c>
      <c r="E319" s="260">
        <v>1</v>
      </c>
      <c r="F319" s="261">
        <f t="shared" si="6"/>
        <v>29</v>
      </c>
      <c r="G319" s="106" t="s">
        <v>627</v>
      </c>
      <c r="H319" s="665"/>
      <c r="I319" s="658"/>
    </row>
    <row r="320" spans="2:9" ht="15.75" hidden="1" thickBot="1" x14ac:dyDescent="0.3">
      <c r="B320" s="664"/>
      <c r="C320" s="250"/>
      <c r="D320" s="254">
        <v>40</v>
      </c>
      <c r="E320" s="251">
        <v>1</v>
      </c>
      <c r="F320" s="254">
        <f t="shared" si="6"/>
        <v>40</v>
      </c>
      <c r="G320" s="246" t="s">
        <v>628</v>
      </c>
      <c r="H320" s="666"/>
      <c r="I320" s="667"/>
    </row>
    <row r="321" spans="2:9" ht="30.75" hidden="1" thickBot="1" x14ac:dyDescent="0.3">
      <c r="B321" s="202">
        <v>42398</v>
      </c>
      <c r="C321" s="248"/>
      <c r="D321" s="203">
        <v>150</v>
      </c>
      <c r="E321" s="204">
        <v>1</v>
      </c>
      <c r="F321" s="203">
        <f t="shared" si="6"/>
        <v>150</v>
      </c>
      <c r="G321" s="205" t="s">
        <v>629</v>
      </c>
      <c r="H321" s="206" t="s">
        <v>630</v>
      </c>
      <c r="I321" s="207">
        <v>88</v>
      </c>
    </row>
    <row r="322" spans="2:9" ht="30.75" hidden="1" thickBot="1" x14ac:dyDescent="0.3">
      <c r="B322" s="186">
        <v>42401</v>
      </c>
      <c r="C322" s="250"/>
      <c r="D322" s="209">
        <v>2500</v>
      </c>
      <c r="E322" s="192">
        <v>1</v>
      </c>
      <c r="F322" s="209">
        <f t="shared" si="6"/>
        <v>2500</v>
      </c>
      <c r="G322" s="188" t="s">
        <v>631</v>
      </c>
      <c r="H322" s="189" t="s">
        <v>632</v>
      </c>
      <c r="I322" s="190">
        <v>88</v>
      </c>
    </row>
    <row r="323" spans="2:9" hidden="1" x14ac:dyDescent="0.25">
      <c r="B323" s="669">
        <v>42401</v>
      </c>
      <c r="C323" s="235"/>
      <c r="D323" s="200">
        <v>400</v>
      </c>
      <c r="E323" s="201">
        <v>2</v>
      </c>
      <c r="F323" s="200">
        <f t="shared" si="6"/>
        <v>800</v>
      </c>
      <c r="G323" s="181" t="s">
        <v>633</v>
      </c>
      <c r="H323" s="671" t="s">
        <v>609</v>
      </c>
      <c r="I323" s="671">
        <v>92</v>
      </c>
    </row>
    <row r="324" spans="2:9" hidden="1" x14ac:dyDescent="0.25">
      <c r="B324" s="658"/>
      <c r="C324" s="323"/>
      <c r="D324" s="261">
        <v>55</v>
      </c>
      <c r="E324" s="260">
        <v>4</v>
      </c>
      <c r="F324" s="261">
        <f t="shared" si="6"/>
        <v>220</v>
      </c>
      <c r="G324" s="106" t="s">
        <v>634</v>
      </c>
      <c r="H324" s="658"/>
      <c r="I324" s="658"/>
    </row>
    <row r="325" spans="2:9" hidden="1" x14ac:dyDescent="0.25">
      <c r="B325" s="658"/>
      <c r="C325" s="323"/>
      <c r="D325" s="261">
        <v>85</v>
      </c>
      <c r="E325" s="260">
        <v>2</v>
      </c>
      <c r="F325" s="261">
        <f t="shared" si="6"/>
        <v>170</v>
      </c>
      <c r="G325" s="106" t="s">
        <v>620</v>
      </c>
      <c r="H325" s="658"/>
      <c r="I325" s="658"/>
    </row>
    <row r="326" spans="2:9" hidden="1" x14ac:dyDescent="0.25">
      <c r="B326" s="658"/>
      <c r="C326" s="323"/>
      <c r="D326" s="261">
        <v>460</v>
      </c>
      <c r="E326" s="260">
        <v>2</v>
      </c>
      <c r="F326" s="261">
        <f t="shared" si="6"/>
        <v>920</v>
      </c>
      <c r="G326" s="106" t="s">
        <v>619</v>
      </c>
      <c r="H326" s="658"/>
      <c r="I326" s="658"/>
    </row>
    <row r="327" spans="2:9" hidden="1" x14ac:dyDescent="0.25">
      <c r="B327" s="658"/>
      <c r="C327" s="323"/>
      <c r="D327" s="261">
        <v>60</v>
      </c>
      <c r="E327" s="260">
        <v>1</v>
      </c>
      <c r="F327" s="261">
        <f t="shared" si="6"/>
        <v>60</v>
      </c>
      <c r="G327" s="106" t="s">
        <v>635</v>
      </c>
      <c r="H327" s="658"/>
      <c r="I327" s="658"/>
    </row>
    <row r="328" spans="2:9" hidden="1" x14ac:dyDescent="0.25">
      <c r="B328" s="658"/>
      <c r="C328" s="323"/>
      <c r="D328" s="261">
        <v>60</v>
      </c>
      <c r="E328" s="260">
        <v>1</v>
      </c>
      <c r="F328" s="261">
        <f t="shared" si="6"/>
        <v>60</v>
      </c>
      <c r="G328" s="106" t="s">
        <v>636</v>
      </c>
      <c r="H328" s="658"/>
      <c r="I328" s="658"/>
    </row>
    <row r="329" spans="2:9" hidden="1" x14ac:dyDescent="0.25">
      <c r="B329" s="658"/>
      <c r="C329" s="323"/>
      <c r="D329" s="261">
        <v>17</v>
      </c>
      <c r="E329" s="260">
        <v>4</v>
      </c>
      <c r="F329" s="261">
        <f t="shared" si="6"/>
        <v>68</v>
      </c>
      <c r="G329" s="106" t="s">
        <v>615</v>
      </c>
      <c r="H329" s="658"/>
      <c r="I329" s="658"/>
    </row>
    <row r="330" spans="2:9" hidden="1" x14ac:dyDescent="0.25">
      <c r="B330" s="658"/>
      <c r="C330" s="323"/>
      <c r="D330" s="261">
        <v>40</v>
      </c>
      <c r="E330" s="260">
        <v>6</v>
      </c>
      <c r="F330" s="261">
        <f t="shared" si="6"/>
        <v>240</v>
      </c>
      <c r="G330" s="106" t="s">
        <v>616</v>
      </c>
      <c r="H330" s="658"/>
      <c r="I330" s="658"/>
    </row>
    <row r="331" spans="2:9" hidden="1" x14ac:dyDescent="0.25">
      <c r="B331" s="658"/>
      <c r="C331" s="323"/>
      <c r="D331" s="261">
        <v>250</v>
      </c>
      <c r="E331" s="260">
        <v>2</v>
      </c>
      <c r="F331" s="261">
        <f t="shared" si="6"/>
        <v>500</v>
      </c>
      <c r="G331" s="106" t="s">
        <v>637</v>
      </c>
      <c r="H331" s="658"/>
      <c r="I331" s="658"/>
    </row>
    <row r="332" spans="2:9" hidden="1" x14ac:dyDescent="0.25">
      <c r="B332" s="658"/>
      <c r="C332" s="323"/>
      <c r="D332" s="261">
        <v>1180</v>
      </c>
      <c r="E332" s="260">
        <v>1</v>
      </c>
      <c r="F332" s="261">
        <f t="shared" si="6"/>
        <v>1180</v>
      </c>
      <c r="G332" s="106" t="s">
        <v>638</v>
      </c>
      <c r="H332" s="658"/>
      <c r="I332" s="658"/>
    </row>
    <row r="333" spans="2:9" hidden="1" x14ac:dyDescent="0.25">
      <c r="B333" s="658"/>
      <c r="C333" s="323"/>
      <c r="D333" s="261">
        <v>950</v>
      </c>
      <c r="E333" s="260">
        <v>2</v>
      </c>
      <c r="F333" s="261">
        <f t="shared" si="6"/>
        <v>1900</v>
      </c>
      <c r="G333" s="106" t="s">
        <v>639</v>
      </c>
      <c r="H333" s="658"/>
      <c r="I333" s="658"/>
    </row>
    <row r="334" spans="2:9" hidden="1" x14ac:dyDescent="0.25">
      <c r="B334" s="658"/>
      <c r="C334" s="323"/>
      <c r="D334" s="261">
        <v>310</v>
      </c>
      <c r="E334" s="260">
        <v>8</v>
      </c>
      <c r="F334" s="261">
        <f t="shared" si="6"/>
        <v>2480</v>
      </c>
      <c r="G334" s="106" t="s">
        <v>640</v>
      </c>
      <c r="H334" s="658"/>
      <c r="I334" s="658"/>
    </row>
    <row r="335" spans="2:9" hidden="1" x14ac:dyDescent="0.25">
      <c r="B335" s="658"/>
      <c r="C335" s="323"/>
      <c r="D335" s="261">
        <v>18</v>
      </c>
      <c r="E335" s="260">
        <v>8</v>
      </c>
      <c r="F335" s="261">
        <f t="shared" si="6"/>
        <v>144</v>
      </c>
      <c r="G335" s="106" t="s">
        <v>641</v>
      </c>
      <c r="H335" s="658"/>
      <c r="I335" s="658"/>
    </row>
    <row r="336" spans="2:9" ht="30.75" hidden="1" thickBot="1" x14ac:dyDescent="0.3">
      <c r="B336" s="667"/>
      <c r="C336" s="188"/>
      <c r="D336" s="254">
        <v>390</v>
      </c>
      <c r="E336" s="251">
        <v>1</v>
      </c>
      <c r="F336" s="254">
        <f t="shared" si="6"/>
        <v>390</v>
      </c>
      <c r="G336" s="246" t="s">
        <v>642</v>
      </c>
      <c r="H336" s="667"/>
      <c r="I336" s="667"/>
    </row>
    <row r="337" spans="2:9" hidden="1" x14ac:dyDescent="0.25">
      <c r="B337" s="669">
        <v>42401</v>
      </c>
      <c r="C337" s="235"/>
      <c r="D337" s="200">
        <v>350</v>
      </c>
      <c r="E337" s="201">
        <v>1</v>
      </c>
      <c r="F337" s="200">
        <f t="shared" si="6"/>
        <v>350</v>
      </c>
      <c r="G337" s="181" t="s">
        <v>600</v>
      </c>
      <c r="H337" s="671" t="s">
        <v>643</v>
      </c>
      <c r="I337" s="671">
        <v>92</v>
      </c>
    </row>
    <row r="338" spans="2:9" hidden="1" x14ac:dyDescent="0.25">
      <c r="B338" s="658"/>
      <c r="C338" s="323"/>
      <c r="D338" s="261">
        <v>180</v>
      </c>
      <c r="E338" s="260">
        <v>4</v>
      </c>
      <c r="F338" s="261">
        <f t="shared" si="6"/>
        <v>720</v>
      </c>
      <c r="G338" s="106" t="s">
        <v>606</v>
      </c>
      <c r="H338" s="658"/>
      <c r="I338" s="658"/>
    </row>
    <row r="339" spans="2:9" hidden="1" x14ac:dyDescent="0.25">
      <c r="B339" s="658"/>
      <c r="C339" s="323"/>
      <c r="D339" s="261">
        <v>800</v>
      </c>
      <c r="E339" s="260">
        <v>1</v>
      </c>
      <c r="F339" s="261">
        <f t="shared" si="6"/>
        <v>800</v>
      </c>
      <c r="G339" s="106" t="s">
        <v>611</v>
      </c>
      <c r="H339" s="658"/>
      <c r="I339" s="658"/>
    </row>
    <row r="340" spans="2:9" hidden="1" x14ac:dyDescent="0.25">
      <c r="B340" s="658"/>
      <c r="C340" s="323"/>
      <c r="D340" s="261">
        <v>150</v>
      </c>
      <c r="E340" s="260">
        <v>3</v>
      </c>
      <c r="F340" s="261">
        <f t="shared" si="6"/>
        <v>450</v>
      </c>
      <c r="G340" s="106" t="s">
        <v>612</v>
      </c>
      <c r="H340" s="658"/>
      <c r="I340" s="658"/>
    </row>
    <row r="341" spans="2:9" hidden="1" x14ac:dyDescent="0.25">
      <c r="B341" s="658"/>
      <c r="C341" s="323"/>
      <c r="D341" s="261">
        <v>300</v>
      </c>
      <c r="E341" s="260">
        <v>2</v>
      </c>
      <c r="F341" s="261">
        <f t="shared" si="6"/>
        <v>600</v>
      </c>
      <c r="G341" s="106" t="s">
        <v>644</v>
      </c>
      <c r="H341" s="658"/>
      <c r="I341" s="658"/>
    </row>
    <row r="342" spans="2:9" ht="15.75" hidden="1" thickBot="1" x14ac:dyDescent="0.3">
      <c r="B342" s="667"/>
      <c r="C342" s="188"/>
      <c r="D342" s="254">
        <v>2500</v>
      </c>
      <c r="E342" s="251">
        <v>1</v>
      </c>
      <c r="F342" s="254">
        <f t="shared" si="6"/>
        <v>2500</v>
      </c>
      <c r="G342" s="246" t="s">
        <v>645</v>
      </c>
      <c r="H342" s="667"/>
      <c r="I342" s="667"/>
    </row>
    <row r="343" spans="2:9" ht="15.75" hidden="1" thickBot="1" x14ac:dyDescent="0.3">
      <c r="B343" s="212">
        <v>42401</v>
      </c>
      <c r="C343" s="248"/>
      <c r="D343" s="203">
        <v>1075</v>
      </c>
      <c r="E343" s="204">
        <v>1</v>
      </c>
      <c r="F343" s="203">
        <f t="shared" si="6"/>
        <v>1075</v>
      </c>
      <c r="G343" s="205" t="s">
        <v>646</v>
      </c>
      <c r="H343" s="207" t="s">
        <v>609</v>
      </c>
      <c r="I343" s="207">
        <v>92</v>
      </c>
    </row>
    <row r="344" spans="2:9" ht="15.75" hidden="1" thickBot="1" x14ac:dyDescent="0.3">
      <c r="B344" s="212">
        <v>42402</v>
      </c>
      <c r="C344" s="248"/>
      <c r="D344" s="203">
        <v>1500</v>
      </c>
      <c r="E344" s="204">
        <v>1</v>
      </c>
      <c r="F344" s="203">
        <f t="shared" si="6"/>
        <v>1500</v>
      </c>
      <c r="G344" s="205" t="s">
        <v>647</v>
      </c>
      <c r="H344" s="207" t="s">
        <v>609</v>
      </c>
      <c r="I344" s="207">
        <v>92</v>
      </c>
    </row>
    <row r="345" spans="2:9" ht="15.75" hidden="1" thickBot="1" x14ac:dyDescent="0.3">
      <c r="B345" s="212">
        <v>42403</v>
      </c>
      <c r="C345" s="248"/>
      <c r="D345" s="203">
        <v>200</v>
      </c>
      <c r="E345" s="204">
        <v>1</v>
      </c>
      <c r="F345" s="203">
        <f t="shared" si="6"/>
        <v>200</v>
      </c>
      <c r="G345" s="205" t="s">
        <v>648</v>
      </c>
      <c r="H345" s="206" t="s">
        <v>649</v>
      </c>
      <c r="I345" s="207">
        <v>88</v>
      </c>
    </row>
    <row r="346" spans="2:9" hidden="1" x14ac:dyDescent="0.25">
      <c r="B346" s="660">
        <v>42409</v>
      </c>
      <c r="C346" s="259"/>
      <c r="D346" s="200">
        <v>2</v>
      </c>
      <c r="E346" s="201">
        <v>15</v>
      </c>
      <c r="F346" s="200">
        <f t="shared" si="6"/>
        <v>30</v>
      </c>
      <c r="G346" s="181" t="s">
        <v>650</v>
      </c>
      <c r="H346" s="671" t="s">
        <v>651</v>
      </c>
      <c r="I346" s="671" t="s">
        <v>245</v>
      </c>
    </row>
    <row r="347" spans="2:9" hidden="1" x14ac:dyDescent="0.25">
      <c r="B347" s="661"/>
      <c r="C347" s="324"/>
      <c r="D347" s="261">
        <v>2</v>
      </c>
      <c r="E347" s="260">
        <v>20</v>
      </c>
      <c r="F347" s="261">
        <f t="shared" si="6"/>
        <v>40</v>
      </c>
      <c r="G347" s="106" t="s">
        <v>652</v>
      </c>
      <c r="H347" s="658"/>
      <c r="I347" s="658"/>
    </row>
    <row r="348" spans="2:9" hidden="1" x14ac:dyDescent="0.25">
      <c r="B348" s="661"/>
      <c r="C348" s="324"/>
      <c r="D348" s="261">
        <v>2</v>
      </c>
      <c r="E348" s="260">
        <v>20</v>
      </c>
      <c r="F348" s="261">
        <f t="shared" si="6"/>
        <v>40</v>
      </c>
      <c r="G348" s="106" t="s">
        <v>653</v>
      </c>
      <c r="H348" s="658"/>
      <c r="I348" s="658"/>
    </row>
    <row r="349" spans="2:9" hidden="1" x14ac:dyDescent="0.25">
      <c r="B349" s="661"/>
      <c r="C349" s="324"/>
      <c r="D349" s="261">
        <v>2</v>
      </c>
      <c r="E349" s="260">
        <v>15</v>
      </c>
      <c r="F349" s="261">
        <f t="shared" si="6"/>
        <v>30</v>
      </c>
      <c r="G349" s="106" t="s">
        <v>654</v>
      </c>
      <c r="H349" s="658"/>
      <c r="I349" s="658"/>
    </row>
    <row r="350" spans="2:9" hidden="1" x14ac:dyDescent="0.25">
      <c r="B350" s="661"/>
      <c r="C350" s="324"/>
      <c r="D350" s="261">
        <v>2</v>
      </c>
      <c r="E350" s="260">
        <v>15</v>
      </c>
      <c r="F350" s="261">
        <f t="shared" si="6"/>
        <v>30</v>
      </c>
      <c r="G350" s="106" t="s">
        <v>655</v>
      </c>
      <c r="H350" s="658"/>
      <c r="I350" s="658"/>
    </row>
    <row r="351" spans="2:9" hidden="1" x14ac:dyDescent="0.25">
      <c r="B351" s="661"/>
      <c r="C351" s="324"/>
      <c r="D351" s="261">
        <v>10</v>
      </c>
      <c r="E351" s="260">
        <v>10</v>
      </c>
      <c r="F351" s="261">
        <f t="shared" si="6"/>
        <v>100</v>
      </c>
      <c r="G351" s="106" t="s">
        <v>656</v>
      </c>
      <c r="H351" s="658"/>
      <c r="I351" s="658"/>
    </row>
    <row r="352" spans="2:9" hidden="1" x14ac:dyDescent="0.25">
      <c r="B352" s="661"/>
      <c r="C352" s="324"/>
      <c r="D352" s="261">
        <v>10</v>
      </c>
      <c r="E352" s="260">
        <v>10</v>
      </c>
      <c r="F352" s="261">
        <f t="shared" si="6"/>
        <v>100</v>
      </c>
      <c r="G352" s="106" t="s">
        <v>657</v>
      </c>
      <c r="H352" s="658"/>
      <c r="I352" s="658"/>
    </row>
    <row r="353" spans="2:9" ht="15.75" hidden="1" thickBot="1" x14ac:dyDescent="0.3">
      <c r="B353" s="662"/>
      <c r="C353" s="258"/>
      <c r="D353" s="254">
        <v>7</v>
      </c>
      <c r="E353" s="251">
        <v>10</v>
      </c>
      <c r="F353" s="254">
        <f t="shared" si="6"/>
        <v>70</v>
      </c>
      <c r="G353" s="246" t="s">
        <v>658</v>
      </c>
      <c r="H353" s="667"/>
      <c r="I353" s="667"/>
    </row>
    <row r="354" spans="2:9" hidden="1" x14ac:dyDescent="0.25">
      <c r="B354" s="660">
        <v>42433</v>
      </c>
      <c r="C354" s="259"/>
      <c r="D354" s="325">
        <v>200</v>
      </c>
      <c r="E354" s="326">
        <v>2</v>
      </c>
      <c r="F354" s="325">
        <f t="shared" si="6"/>
        <v>400</v>
      </c>
      <c r="G354" s="215" t="s">
        <v>659</v>
      </c>
      <c r="H354" s="671" t="s">
        <v>651</v>
      </c>
      <c r="I354" s="671" t="s">
        <v>245</v>
      </c>
    </row>
    <row r="355" spans="2:9" ht="15.75" hidden="1" thickBot="1" x14ac:dyDescent="0.3">
      <c r="B355" s="662"/>
      <c r="C355" s="258"/>
      <c r="D355" s="254">
        <v>2</v>
      </c>
      <c r="E355" s="251">
        <v>15</v>
      </c>
      <c r="F355" s="254">
        <f t="shared" si="6"/>
        <v>30</v>
      </c>
      <c r="G355" s="246" t="s">
        <v>660</v>
      </c>
      <c r="H355" s="667"/>
      <c r="I355" s="667"/>
    </row>
    <row r="356" spans="2:9" hidden="1" x14ac:dyDescent="0.25">
      <c r="B356" s="327">
        <v>42439</v>
      </c>
      <c r="C356" s="311"/>
      <c r="D356" s="195">
        <v>2</v>
      </c>
      <c r="E356" s="196">
        <v>20</v>
      </c>
      <c r="F356" s="195">
        <f t="shared" si="6"/>
        <v>40</v>
      </c>
      <c r="G356" s="185" t="s">
        <v>661</v>
      </c>
      <c r="H356" s="118" t="s">
        <v>662</v>
      </c>
      <c r="I356" s="199">
        <v>92</v>
      </c>
    </row>
    <row r="357" spans="2:9" hidden="1" x14ac:dyDescent="0.25">
      <c r="B357" s="327">
        <v>42439</v>
      </c>
      <c r="C357" s="311"/>
      <c r="D357" s="195">
        <v>2</v>
      </c>
      <c r="E357" s="196">
        <v>550</v>
      </c>
      <c r="F357" s="195">
        <f t="shared" si="6"/>
        <v>1100</v>
      </c>
      <c r="G357" s="185" t="s">
        <v>663</v>
      </c>
      <c r="H357" s="118" t="s">
        <v>664</v>
      </c>
      <c r="I357" s="199">
        <v>88</v>
      </c>
    </row>
    <row r="358" spans="2:9" hidden="1" x14ac:dyDescent="0.25">
      <c r="B358" s="196"/>
      <c r="C358" s="185"/>
      <c r="D358" s="195"/>
      <c r="E358" s="196"/>
      <c r="F358" s="195"/>
      <c r="G358" s="185"/>
      <c r="H358" s="118"/>
      <c r="I358" s="199"/>
    </row>
    <row r="359" spans="2:9" hidden="1" x14ac:dyDescent="0.25">
      <c r="B359" s="196"/>
      <c r="C359" s="185"/>
      <c r="D359" s="195"/>
      <c r="E359" s="196"/>
      <c r="F359" s="195"/>
      <c r="G359" s="185"/>
      <c r="H359" s="118"/>
      <c r="I359" s="199"/>
    </row>
    <row r="360" spans="2:9" hidden="1" x14ac:dyDescent="0.25">
      <c r="B360" s="196"/>
      <c r="C360" s="185"/>
      <c r="D360" s="195"/>
      <c r="E360" s="196"/>
      <c r="F360" s="195"/>
      <c r="G360" s="185"/>
      <c r="H360" s="118"/>
      <c r="I360" s="199"/>
    </row>
    <row r="361" spans="2:9" hidden="1" x14ac:dyDescent="0.25">
      <c r="B361" s="196"/>
      <c r="C361" s="185"/>
      <c r="D361" s="195"/>
      <c r="E361" s="196"/>
      <c r="F361" s="195"/>
      <c r="G361" s="185"/>
      <c r="H361" s="118"/>
      <c r="I361" s="199"/>
    </row>
    <row r="362" spans="2:9" hidden="1" x14ac:dyDescent="0.25">
      <c r="B362" s="196"/>
      <c r="C362" s="185"/>
      <c r="D362" s="195"/>
      <c r="E362" s="196"/>
      <c r="F362" s="195"/>
      <c r="G362" s="185"/>
      <c r="H362" s="118"/>
      <c r="I362" s="199"/>
    </row>
    <row r="363" spans="2:9" hidden="1" x14ac:dyDescent="0.25">
      <c r="B363" s="196"/>
      <c r="C363" s="185"/>
      <c r="D363" s="195"/>
      <c r="E363" s="196"/>
      <c r="F363" s="195"/>
      <c r="G363" s="185"/>
      <c r="H363" s="118"/>
      <c r="I363" s="199"/>
    </row>
    <row r="364" spans="2:9" hidden="1" x14ac:dyDescent="0.25">
      <c r="B364" s="196"/>
      <c r="C364" s="185"/>
      <c r="D364" s="195"/>
      <c r="E364" s="196"/>
      <c r="F364" s="195"/>
      <c r="G364" s="185"/>
      <c r="H364" s="118"/>
      <c r="I364" s="199"/>
    </row>
    <row r="365" spans="2:9" hidden="1" x14ac:dyDescent="0.25">
      <c r="B365" s="196"/>
      <c r="C365" s="185"/>
      <c r="D365" s="195"/>
      <c r="E365" s="196"/>
      <c r="F365" s="195"/>
      <c r="G365" s="185"/>
      <c r="H365" s="118"/>
      <c r="I365" s="199"/>
    </row>
    <row r="366" spans="2:9" hidden="1" x14ac:dyDescent="0.25">
      <c r="B366" s="196"/>
      <c r="C366" s="185"/>
      <c r="D366" s="195"/>
      <c r="E366" s="196"/>
      <c r="F366" s="195"/>
      <c r="G366" s="185"/>
      <c r="H366" s="118"/>
      <c r="I366" s="199"/>
    </row>
    <row r="367" spans="2:9" hidden="1" x14ac:dyDescent="0.25">
      <c r="B367" s="196"/>
      <c r="C367" s="185"/>
      <c r="D367" s="195"/>
      <c r="E367" s="196"/>
      <c r="F367" s="195"/>
      <c r="G367" s="185"/>
      <c r="H367" s="118"/>
      <c r="I367" s="199"/>
    </row>
    <row r="368" spans="2:9" hidden="1" x14ac:dyDescent="0.25">
      <c r="B368" s="196"/>
      <c r="C368" s="185"/>
      <c r="D368" s="195"/>
      <c r="E368" s="196"/>
      <c r="F368" s="195"/>
      <c r="G368" s="185"/>
      <c r="H368" s="118"/>
      <c r="I368" s="199"/>
    </row>
    <row r="369" spans="2:9" hidden="1" x14ac:dyDescent="0.25">
      <c r="B369" s="196"/>
      <c r="C369" s="185"/>
      <c r="D369" s="195"/>
      <c r="E369" s="196"/>
      <c r="F369" s="195"/>
      <c r="G369" s="185"/>
      <c r="H369" s="118"/>
      <c r="I369" s="199"/>
    </row>
    <row r="370" spans="2:9" hidden="1" x14ac:dyDescent="0.25">
      <c r="B370" s="196"/>
      <c r="C370" s="185"/>
      <c r="D370" s="195"/>
      <c r="E370" s="196"/>
      <c r="F370" s="195"/>
      <c r="G370" s="185"/>
      <c r="H370" s="118"/>
      <c r="I370" s="199"/>
    </row>
    <row r="371" spans="2:9" hidden="1" x14ac:dyDescent="0.25">
      <c r="B371" s="260"/>
      <c r="C371" s="106"/>
      <c r="D371" s="261"/>
      <c r="E371" s="260"/>
      <c r="F371" s="261"/>
      <c r="G371" s="106"/>
      <c r="H371" s="280"/>
      <c r="I371" s="105"/>
    </row>
    <row r="372" spans="2:9" hidden="1" x14ac:dyDescent="0.25">
      <c r="F372" s="328">
        <f>SUM(F293:F371)</f>
        <v>35422.377</v>
      </c>
    </row>
    <row r="373" spans="2:9" hidden="1" x14ac:dyDescent="0.25">
      <c r="F373" s="328"/>
    </row>
    <row r="374" spans="2:9" x14ac:dyDescent="0.25">
      <c r="F374" s="346">
        <f>SUBTOTAL(9,F75:F289)</f>
        <v>41618.49</v>
      </c>
    </row>
  </sheetData>
  <autoFilter ref="C1:C373">
    <filterColumn colId="0">
      <filters>
        <filter val="Водоснабжение"/>
        <filter val="Водоснабжение рм"/>
      </filters>
    </filterColumn>
  </autoFilter>
  <mergeCells count="105">
    <mergeCell ref="H51:H73"/>
    <mergeCell ref="I51:I73"/>
    <mergeCell ref="B76:B80"/>
    <mergeCell ref="H76:H80"/>
    <mergeCell ref="I76:I79"/>
    <mergeCell ref="B82:B88"/>
    <mergeCell ref="H82:H88"/>
    <mergeCell ref="I82:I88"/>
    <mergeCell ref="B100:B111"/>
    <mergeCell ref="H100:H111"/>
    <mergeCell ref="I100:I111"/>
    <mergeCell ref="B112:B114"/>
    <mergeCell ref="H112:H116"/>
    <mergeCell ref="I112:I114"/>
    <mergeCell ref="B89:B94"/>
    <mergeCell ref="H89:H94"/>
    <mergeCell ref="I89:I94"/>
    <mergeCell ref="B95:B99"/>
    <mergeCell ref="H95:H99"/>
    <mergeCell ref="I95:I99"/>
    <mergeCell ref="B135:B151"/>
    <mergeCell ref="H135:H151"/>
    <mergeCell ref="I135:I151"/>
    <mergeCell ref="B153:B162"/>
    <mergeCell ref="H153:H162"/>
    <mergeCell ref="I153:I162"/>
    <mergeCell ref="B117:B121"/>
    <mergeCell ref="H117:H121"/>
    <mergeCell ref="I117:I121"/>
    <mergeCell ref="B122:B127"/>
    <mergeCell ref="I122:I127"/>
    <mergeCell ref="B129:B132"/>
    <mergeCell ref="H129:H132"/>
    <mergeCell ref="I129:I132"/>
    <mergeCell ref="B180:B182"/>
    <mergeCell ref="H180:H182"/>
    <mergeCell ref="I180:I182"/>
    <mergeCell ref="H184:H189"/>
    <mergeCell ref="B190:B202"/>
    <mergeCell ref="H190:H202"/>
    <mergeCell ref="I190:I202"/>
    <mergeCell ref="B163:B173"/>
    <mergeCell ref="H163:H173"/>
    <mergeCell ref="I163:I173"/>
    <mergeCell ref="B174:B179"/>
    <mergeCell ref="H174:H179"/>
    <mergeCell ref="I174:I179"/>
    <mergeCell ref="B203:B204"/>
    <mergeCell ref="H203:H207"/>
    <mergeCell ref="I203:I207"/>
    <mergeCell ref="H208:H211"/>
    <mergeCell ref="I208:I211"/>
    <mergeCell ref="B213:B215"/>
    <mergeCell ref="H213:H222"/>
    <mergeCell ref="I213:I222"/>
    <mergeCell ref="B216:B218"/>
    <mergeCell ref="B219:B221"/>
    <mergeCell ref="B235:B239"/>
    <mergeCell ref="H235:H239"/>
    <mergeCell ref="I235:I239"/>
    <mergeCell ref="B240:B246"/>
    <mergeCell ref="I240:I246"/>
    <mergeCell ref="J243:J244"/>
    <mergeCell ref="H223:H225"/>
    <mergeCell ref="H226:H230"/>
    <mergeCell ref="I226:I230"/>
    <mergeCell ref="B227:B229"/>
    <mergeCell ref="B231:B232"/>
    <mergeCell ref="H231:H233"/>
    <mergeCell ref="I231:I233"/>
    <mergeCell ref="B271:B275"/>
    <mergeCell ref="H271:H275"/>
    <mergeCell ref="I271:I275"/>
    <mergeCell ref="B276:B288"/>
    <mergeCell ref="I276:I288"/>
    <mergeCell ref="B293:B295"/>
    <mergeCell ref="H293:H295"/>
    <mergeCell ref="I293:I295"/>
    <mergeCell ref="B248:B256"/>
    <mergeCell ref="I248:I256"/>
    <mergeCell ref="B257:B259"/>
    <mergeCell ref="I257:I259"/>
    <mergeCell ref="B263:B267"/>
    <mergeCell ref="I263:I267"/>
    <mergeCell ref="B318:B320"/>
    <mergeCell ref="H318:H320"/>
    <mergeCell ref="I318:I320"/>
    <mergeCell ref="B323:B336"/>
    <mergeCell ref="H323:H336"/>
    <mergeCell ref="I323:I336"/>
    <mergeCell ref="B301:B305"/>
    <mergeCell ref="H301:H305"/>
    <mergeCell ref="I301:I305"/>
    <mergeCell ref="B306:B317"/>
    <mergeCell ref="H306:H317"/>
    <mergeCell ref="I306:I317"/>
    <mergeCell ref="B354:B355"/>
    <mergeCell ref="H354:H355"/>
    <mergeCell ref="I354:I355"/>
    <mergeCell ref="B337:B342"/>
    <mergeCell ref="H337:H342"/>
    <mergeCell ref="I337:I342"/>
    <mergeCell ref="B346:B353"/>
    <mergeCell ref="H346:H353"/>
    <mergeCell ref="I346:I353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Смета 2015 общ.</vt:lpstr>
      <vt:lpstr>Смета 2015 общ.сокр.</vt:lpstr>
      <vt:lpstr>Смета 2015 88,90,92</vt:lpstr>
      <vt:lpstr>Смета 2015 88,90,92 сокр.</vt:lpstr>
      <vt:lpstr>Затраты 88, 90, 92</vt:lpstr>
      <vt:lpstr>Расш.уборка помещений 88,90,92</vt:lpstr>
      <vt:lpstr>Расш..эл.хоз.</vt:lpstr>
      <vt:lpstr>Расш.отопление</vt:lpstr>
      <vt:lpstr>Расш.водоснабжение</vt:lpstr>
      <vt:lpstr>Смета 2015 86</vt:lpstr>
      <vt:lpstr>Смета 2015 86 сокр.</vt:lpstr>
      <vt:lpstr>Затраты 86</vt:lpstr>
      <vt:lpstr>Уборка территории 86</vt:lpstr>
      <vt:lpstr>Уборка помещений 86</vt:lpstr>
      <vt:lpstr>Утепление 86</vt:lpstr>
      <vt:lpstr>ТО эл.хозяйства</vt:lpstr>
      <vt:lpstr>ТО теплохозяйства</vt:lpstr>
      <vt:lpstr>ТО водоснабжение</vt:lpstr>
      <vt:lpstr>'Смета 2015 88,90,92'!Область_печати</vt:lpstr>
      <vt:lpstr>'Смета 2015 88,90,92 сокр.'!Область_печати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Yuriy</cp:lastModifiedBy>
  <cp:lastPrinted>2016-05-05T02:30:50Z</cp:lastPrinted>
  <dcterms:created xsi:type="dcterms:W3CDTF">2015-04-17T16:44:51Z</dcterms:created>
  <dcterms:modified xsi:type="dcterms:W3CDTF">2016-05-23T11:09:44Z</dcterms:modified>
</cp:coreProperties>
</file>